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codeName="ThisWorkbook" defaultThemeVersion="166925"/>
  <workbookProtection lockStructure="1"/>
  <bookViews>
    <workbookView xWindow="0" yWindow="0" windowWidth="25200" windowHeight="11775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MEAV!$B$2:$B$147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8" l="1"/>
  <c r="H13" i="33" l="1"/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1" i="15"/>
  <c r="G129" i="15"/>
  <c r="G128" i="15"/>
  <c r="G127" i="15"/>
  <c r="G126" i="15"/>
  <c r="G125" i="15"/>
  <c r="G122" i="15"/>
  <c r="G114" i="15"/>
  <c r="E114" i="15"/>
  <c r="G110" i="15"/>
  <c r="F110" i="15"/>
  <c r="G109" i="15"/>
  <c r="F109" i="15"/>
  <c r="G108" i="15"/>
  <c r="F108" i="15"/>
  <c r="G107" i="15"/>
  <c r="F107" i="15"/>
  <c r="G106" i="15"/>
  <c r="F106" i="15"/>
  <c r="E105" i="15"/>
  <c r="G86" i="15"/>
  <c r="G84" i="15"/>
  <c r="G83" i="15"/>
  <c r="G82" i="15"/>
  <c r="G81" i="15"/>
  <c r="G58" i="15"/>
  <c r="G56" i="15"/>
  <c r="G103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4" i="15"/>
  <c r="Y22" i="21"/>
  <c r="Y34" i="21" s="1"/>
  <c r="Y49" i="21" s="1"/>
  <c r="AA20" i="21"/>
  <c r="AA32" i="21" s="1"/>
  <c r="AA47" i="21" s="1"/>
  <c r="AA60" i="21"/>
  <c r="AV21" i="15"/>
  <c r="BQ20" i="15"/>
  <c r="H109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08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V24" i="15" s="1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BF24" i="15" s="1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7" i="15"/>
  <c r="AJ21" i="21"/>
  <c r="AJ33" i="21" s="1"/>
  <c r="AJ48" i="21" s="1"/>
  <c r="AM21" i="21"/>
  <c r="AM33" i="21" s="1"/>
  <c r="AM48" i="21" s="1"/>
  <c r="AO19" i="21"/>
  <c r="AO118" i="21" s="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6" i="15"/>
  <c r="CL24" i="15" l="1"/>
  <c r="Q24" i="15"/>
  <c r="BD24" i="15"/>
  <c r="Y24" i="15"/>
  <c r="H112" i="15"/>
  <c r="H116" i="15" s="1"/>
  <c r="H118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6" i="15" s="1"/>
  <c r="H52" i="15"/>
  <c r="H83" i="15"/>
  <c r="H56" i="15"/>
  <c r="H103" i="15" s="1"/>
  <c r="H122" i="15" s="1"/>
  <c r="H129" i="15" s="1"/>
  <c r="H82" i="15"/>
  <c r="H54" i="15"/>
  <c r="H127" i="15" s="1"/>
  <c r="H55" i="15"/>
  <c r="H128" i="15" s="1"/>
  <c r="H25" i="15"/>
  <c r="H81" i="15"/>
  <c r="H84" i="15"/>
  <c r="H119" i="21"/>
  <c r="J40" i="20"/>
  <c r="H41" i="20" l="1"/>
  <c r="H42" i="20" s="1"/>
  <c r="L44" i="20" s="1"/>
  <c r="L35" i="22" s="1"/>
  <c r="M44" i="20"/>
  <c r="M35" i="22" s="1"/>
  <c r="K44" i="20"/>
  <c r="K35" i="22" s="1"/>
  <c r="N44" i="20"/>
  <c r="N35" i="22" s="1"/>
  <c r="J44" i="20"/>
  <c r="H86" i="15"/>
  <c r="H87" i="15" s="1"/>
  <c r="H58" i="15"/>
  <c r="H125" i="15"/>
  <c r="H131" i="15" s="1"/>
  <c r="H132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H138" i="15" l="1"/>
  <c r="H84" i="21" s="1"/>
  <c r="H137" i="15"/>
  <c r="H83" i="21" s="1"/>
  <c r="H135" i="15"/>
  <c r="H139" i="15"/>
  <c r="H85" i="21" s="1"/>
  <c r="H136" i="15"/>
  <c r="H82" i="21" s="1"/>
  <c r="H91" i="15"/>
  <c r="H164" i="22" s="1"/>
  <c r="H90" i="15"/>
  <c r="H93" i="15"/>
  <c r="H166" i="22" s="1"/>
  <c r="H92" i="15"/>
  <c r="H165" i="22" s="1"/>
  <c r="J45" i="22"/>
  <c r="H63" i="20"/>
  <c r="H136" i="22"/>
  <c r="H61" i="15"/>
  <c r="H60" i="15"/>
  <c r="J35" i="22"/>
  <c r="H45" i="20"/>
  <c r="H67" i="20" l="1"/>
  <c r="H37" i="33" s="1"/>
  <c r="H163" i="22"/>
  <c r="H95" i="15"/>
  <c r="H81" i="21"/>
  <c r="H141" i="15"/>
  <c r="H66" i="15"/>
  <c r="H76" i="21" s="1"/>
  <c r="H67" i="15"/>
  <c r="H77" i="21" s="1"/>
  <c r="H68" i="15"/>
  <c r="H78" i="21" s="1"/>
  <c r="H65" i="15"/>
  <c r="H64" i="15"/>
  <c r="A4" i="20" l="1"/>
  <c r="H74" i="21"/>
  <c r="H70" i="15"/>
  <c r="H73" i="15"/>
  <c r="H75" i="21"/>
  <c r="H74" i="15"/>
  <c r="H76" i="15" l="1"/>
  <c r="H145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49" i="38" l="1"/>
  <c r="H50" i="38" s="1"/>
  <c r="H45" i="39"/>
  <c r="H51" i="39" s="1"/>
  <c r="H37" i="39"/>
  <c r="H53" i="38"/>
  <c r="H59" i="38" s="1"/>
  <c r="H60" i="38" s="1"/>
  <c r="H77" i="38" s="1"/>
  <c r="K43" i="22" s="1"/>
  <c r="H57" i="39"/>
  <c r="H30" i="24" s="1"/>
  <c r="H147" i="21"/>
  <c r="H58" i="39" l="1"/>
  <c r="H31" i="24" s="1"/>
  <c r="H53" i="39"/>
  <c r="H62" i="39" s="1"/>
  <c r="H39" i="33" s="1"/>
  <c r="H78" i="38"/>
  <c r="L43" i="22" s="1"/>
  <c r="L47" i="22" s="1"/>
  <c r="L70" i="22" s="1"/>
  <c r="H80" i="38"/>
  <c r="N43" i="22" s="1"/>
  <c r="N47" i="22" s="1"/>
  <c r="N70" i="22" s="1"/>
  <c r="H76" i="38"/>
  <c r="J43" i="22" s="1"/>
  <c r="H62" i="38"/>
  <c r="H79" i="38"/>
  <c r="M43" i="22" s="1"/>
  <c r="M78" i="22" s="1"/>
  <c r="H35" i="33"/>
  <c r="A4" i="21"/>
  <c r="K78" i="22"/>
  <c r="K47" i="22"/>
  <c r="K70" i="22" s="1"/>
  <c r="H68" i="38"/>
  <c r="K33" i="22" s="1"/>
  <c r="H69" i="38"/>
  <c r="L33" i="22" s="1"/>
  <c r="H71" i="38"/>
  <c r="N33" i="22" s="1"/>
  <c r="H70" i="38"/>
  <c r="M33" i="22" s="1"/>
  <c r="H67" i="38"/>
  <c r="A4" i="39" l="1"/>
  <c r="M47" i="22"/>
  <c r="M70" i="22" s="1"/>
  <c r="M84" i="22" s="1"/>
  <c r="M130" i="22" s="1"/>
  <c r="L78" i="22"/>
  <c r="L84" i="22" s="1"/>
  <c r="L130" i="22" s="1"/>
  <c r="N78" i="22"/>
  <c r="N84" i="22" s="1"/>
  <c r="N130" i="22" s="1"/>
  <c r="H82" i="38"/>
  <c r="K77" i="22"/>
  <c r="K37" i="22"/>
  <c r="K69" i="22" s="1"/>
  <c r="M77" i="22"/>
  <c r="M37" i="22"/>
  <c r="M69" i="22" s="1"/>
  <c r="N77" i="22"/>
  <c r="N37" i="22"/>
  <c r="N69" i="22" s="1"/>
  <c r="J33" i="22"/>
  <c r="H73" i="38"/>
  <c r="J78" i="22"/>
  <c r="J47" i="22"/>
  <c r="L77" i="22"/>
  <c r="L37" i="22"/>
  <c r="L69" i="22" s="1"/>
  <c r="K84" i="22"/>
  <c r="K130" i="22" s="1"/>
  <c r="H86" i="38" l="1"/>
  <c r="H36" i="33" s="1"/>
  <c r="M83" i="22"/>
  <c r="M129" i="22" s="1"/>
  <c r="N83" i="22"/>
  <c r="N129" i="22" s="1"/>
  <c r="K83" i="22"/>
  <c r="K129" i="22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<sst xmlns="http://schemas.openxmlformats.org/spreadsheetml/2006/main" count="2906" uniqueCount="763">
  <si>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</si>
  <si>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</si>
  <si>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</si>
  <si>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</si>
  <si>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</si>
  <si>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</si>
  <si>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</si>
  <si>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</si>
  <si>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</si>
  <si>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</si>
  <si>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</si>
  <si>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</si>
  <si>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</si>
  <si>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</si>
  <si>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</si>
  <si>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</si>
  <si>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</si>
  <si>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</si>
  <si>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</si>
  <si>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</si>
  <si>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</si>
  <si>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</si>
  <si>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</si>
  <si>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</si>
  <si>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</si>
  <si>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</si>
  <si>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</si>
  <si>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</si>
  <si>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</si>
  <si>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</si>
  <si>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</si>
  <si>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</si>
  <si>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</si>
  <si>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</si>
  <si>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</si>
  <si>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</si>
  <si>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</si>
  <si>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</si>
  <si>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</si>
  <si>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</si>
  <si>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</si>
  <si>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</si>
  <si>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</si>
  <si>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</si>
  <si>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</si>
  <si>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</si>
  <si>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</si>
  <si>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</si>
  <si>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</si>
  <si>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</si>
  <si>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</si>
  <si>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</si>
  <si>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</si>
  <si>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</si>
  <si>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</si>
  <si>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</si>
  <si>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</si>
  <si>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</si>
  <si>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</si>
  <si>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</si>
  <si>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</si>
  <si>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</si>
  <si>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</si>
  <si>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</si>
  <si>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</si>
  <si>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</si>
  <si>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</si>
  <si>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</si>
  <si>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</si>
  <si>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</si>
  <si>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</si>
  <si>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</si>
  <si>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</si>
  <si>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</si>
  <si>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</si>
  <si>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</si>
  <si>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</si>
  <si>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</si>
  <si>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</si>
  <si>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</si>
  <si>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</si>
  <si>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</si>
  <si>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</si>
  <si>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</si>
  <si>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</si>
  <si>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</si>
  <si>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</si>
  <si>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</si>
  <si>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</si>
  <si>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</si>
  <si>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</si>
  <si>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</si>
  <si>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</si>
  <si>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</si>
  <si>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</si>
  <si>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</si>
  <si>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</si>
  <si>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</si>
  <si>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</si>
  <si>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</si>
  <si>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</si>
  <si>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</si>
  <si>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</si>
  <si>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</si>
  <si>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</si>
  <si>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</si>
  <si>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</si>
  <si>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</si>
  <si>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</si>
  <si>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</si>
  <si>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</si>
  <si>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</si>
  <si>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</si>
  <si>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</si>
  <si>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</si>
  <si>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</si>
  <si>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</si>
  <si>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</si>
  <si>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</si>
  <si>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</si>
  <si>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</si>
  <si>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</si>
  <si>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</si>
  <si>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</si>
  <si>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</si>
  <si>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</si>
  <si>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</si>
  <si>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</si>
  <si>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</si>
  <si>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</si>
  <si>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</si>
  <si>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</si>
  <si>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</si>
  <si>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</si>
  <si>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</si>
  <si>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</si>
  <si>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</si>
  <si>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</si>
  <si>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</si>
  <si>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</si>
  <si>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</si>
  <si>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</si>
  <si>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</si>
  <si>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</si>
  <si>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</si>
  <si>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</si>
  <si>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</si>
  <si>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</si>
  <si>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</si>
  <si>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</si>
  <si>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</si>
  <si>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</si>
  <si>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</si>
  <si>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</si>
  <si>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</si>
  <si>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</si>
  <si>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</si>
  <si>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</si>
  <si>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</si>
  <si>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</si>
  <si>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</si>
  <si>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</si>
  <si>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</si>
  <si>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</si>
  <si>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</si>
  <si>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</si>
  <si>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</si>
  <si>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</si>
  <si>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</si>
  <si>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</si>
  <si>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</si>
  <si>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</si>
  <si>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</si>
  <si>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</si>
  <si>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</si>
  <si>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</si>
  <si>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</si>
  <si>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</si>
  <si>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</si>
  <si>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</si>
  <si>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</si>
  <si>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</si>
  <si>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</si>
  <si>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</si>
  <si>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</si>
  <si>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</si>
  <si>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</si>
  <si>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</si>
  <si>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</si>
  <si>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</si>
  <si>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</si>
  <si>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</si>
  <si>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</si>
  <si>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</si>
  <si>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</si>
  <si>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</si>
  <si>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</si>
  <si>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</si>
  <si>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</si>
  <si>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</si>
  <si>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</si>
  <si>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</si>
  <si>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</si>
  <si>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</si>
  <si>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</si>
  <si>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</si>
  <si>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</si>
  <si>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</si>
  <si>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</si>
  <si>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</si>
  <si>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</si>
  <si>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</si>
  <si>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</si>
  <si>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</si>
  <si>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</si>
  <si>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</si>
  <si>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</si>
  <si>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</si>
  <si>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</si>
  <si>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</si>
  <si>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</si>
  <si>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</si>
  <si>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</si>
  <si>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</si>
  <si>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</si>
  <si>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</si>
  <si>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</si>
  <si>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</si>
  <si>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</si>
  <si>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</si>
  <si>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</si>
  <si>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</si>
  <si>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</si>
  <si>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</si>
  <si>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</si>
  <si>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</si>
  <si>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</si>
  <si>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</si>
  <si>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</si>
  <si>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</si>
  <si>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</si>
  <si>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</si>
  <si>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</si>
  <si>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</si>
  <si>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</si>
  <si>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</si>
  <si>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</si>
  <si>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</si>
  <si>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</si>
  <si>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</si>
  <si>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</si>
  <si>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</si>
  <si>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</si>
  <si>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</si>
  <si>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</si>
  <si>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</si>
  <si>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</si>
  <si>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</si>
  <si>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</si>
  <si>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</si>
  <si>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</si>
  <si>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</si>
  <si>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</si>
  <si>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</si>
  <si>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</si>
  <si>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</si>
  <si>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</si>
  <si>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</si>
  <si>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</si>
  <si>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</si>
  <si>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</si>
  <si>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</si>
  <si>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</si>
  <si>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</si>
  <si>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</si>
  <si>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</si>
  <si>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</si>
  <si>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</si>
  <si>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</si>
  <si>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</si>
  <si>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</si>
  <si>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</si>
  <si>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</si>
  <si>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</si>
  <si>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</si>
  <si>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</si>
  <si>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</si>
  <si>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</si>
  <si>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</si>
  <si>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</si>
  <si>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</si>
  <si>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</si>
  <si>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</si>
  <si>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</si>
  <si>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</si>
  <si>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</si>
  <si>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</si>
  <si>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</si>
  <si>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</si>
  <si>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</si>
  <si>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</si>
  <si>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</si>
  <si>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</si>
  <si>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</si>
  <si>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</si>
  <si>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</si>
  <si>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</si>
  <si>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</si>
  <si>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</si>
  <si>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</si>
  <si>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</si>
  <si>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</si>
  <si>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</si>
  <si>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</si>
  <si>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</si>
  <si>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</si>
  <si>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</si>
  <si>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</si>
  <si>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</si>
  <si>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</si>
  <si>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</si>
  <si>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</si>
  <si>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</si>
  <si>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</si>
  <si>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</si>
  <si>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</si>
  <si>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</si>
  <si>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</si>
  <si>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</si>
  <si>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</si>
  <si>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</si>
  <si>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</si>
  <si>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</si>
  <si>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</si>
  <si>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</si>
  <si>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</si>
  <si>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</si>
  <si>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</si>
  <si>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</si>
  <si>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</si>
  <si>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</si>
  <si>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</si>
  <si>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</si>
  <si>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</si>
  <si>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</si>
  <si>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</si>
  <si>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</si>
  <si>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</si>
  <si>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</si>
  <si>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</si>
  <si>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</si>
  <si>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</si>
  <si>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</si>
  <si>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</si>
  <si>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</si>
  <si>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</si>
  <si>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</si>
  <si>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</si>
  <si>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</si>
  <si>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</si>
  <si>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</si>
  <si>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</si>
  <si>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</si>
  <si>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</si>
  <si>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</si>
  <si>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</si>
  <si>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</si>
  <si>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</si>
  <si>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</si>
  <si>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</si>
  <si>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</si>
  <si>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</si>
  <si>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</si>
  <si>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</si>
  <si>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</si>
  <si>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</si>
  <si>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</si>
  <si>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</si>
  <si>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</si>
  <si>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</si>
  <si>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</si>
  <si>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</si>
  <si>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</si>
  <si>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</si>
  <si>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</si>
  <si>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</si>
  <si>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</si>
  <si>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</si>
  <si>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</si>
  <si>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</si>
  <si>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</si>
  <si>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</si>
  <si>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</si>
  <si>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</si>
  <si>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</si>
  <si>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</si>
  <si>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</si>
  <si>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</si>
  <si>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</si>
  <si>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</si>
  <si>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</si>
  <si>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</si>
  <si>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</si>
  <si>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</si>
  <si>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</si>
  <si>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</si>
  <si>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</si>
  <si>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Expensed and capitalised proportions and used to allocated components of allowed revenue to network levels.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</si>
  <si>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</si>
  <si>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</si>
  <si>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</si>
  <si>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</si>
  <si>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</si>
  <si>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</si>
  <si>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</si>
  <si>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</si>
  <si>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</si>
  <si>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</si>
  <si>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</si>
  <si>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</si>
  <si>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</si>
  <si>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</si>
  <si>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</si>
  <si>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</si>
  <si>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</si>
  <si>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</si>
  <si>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</si>
  <si>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</si>
  <si>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</si>
  <si>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</si>
  <si>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</si>
  <si>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</si>
  <si>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</si>
  <si>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</si>
  <si>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</si>
  <si>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</si>
  <si>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</si>
  <si>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</si>
  <si>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</si>
  <si>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</si>
  <si>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</si>
  <si>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</si>
  <si>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</si>
  <si>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</si>
  <si>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</si>
  <si>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</si>
  <si>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</si>
  <si>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</si>
  <si>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</si>
  <si>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</si>
  <si>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</si>
  <si>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</si>
  <si>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</si>
  <si>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</si>
  <si>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</si>
  <si>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</si>
  <si>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</si>
  <si>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</si>
  <si>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</si>
  <si>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</si>
  <si>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</si>
  <si>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</si>
  <si>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</si>
  <si>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</si>
  <si>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</si>
  <si>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</si>
  <si>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</si>
  <si>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</si>
  <si>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</si>
  <si>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</si>
  <si>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</si>
  <si>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</si>
  <si>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</si>
  <si>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</si>
  <si>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</si>
  <si>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</si>
  <si>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</si>
  <si>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</si>
  <si>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</si>
  <si>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</si>
  <si>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</si>
  <si>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</si>
  <si>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</si>
  <si>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</si>
  <si>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</si>
  <si>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</si>
  <si>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</si>
  <si>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</si>
  <si>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</si>
  <si>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</si>
  <si>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</si>
  <si>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</si>
  <si>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</si>
  <si>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</si>
  <si>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</si>
  <si>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</si>
  <si>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</si>
  <si>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</si>
  <si>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</si>
  <si>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</si>
  <si>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</si>
  <si>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</si>
  <si>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</si>
  <si>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</si>
  <si>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</si>
  <si>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</si>
  <si>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</si>
  <si>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</si>
  <si>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</si>
  <si>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</si>
  <si>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</si>
  <si>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</si>
  <si>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</si>
  <si>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</si>
  <si>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</si>
  <si>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</si>
  <si>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</si>
  <si>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</si>
  <si>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</si>
  <si>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</si>
  <si>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</si>
  <si>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</si>
  <si>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</si>
  <si>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</si>
  <si>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</si>
  <si>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</si>
  <si>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</si>
  <si>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</si>
  <si>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</si>
  <si>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</si>
  <si>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</si>
  <si>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</si>
  <si>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</si>
  <si>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</si>
  <si>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</si>
  <si>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</si>
  <si>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</si>
  <si>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</si>
  <si>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</si>
  <si>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</si>
  <si>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</si>
  <si>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</si>
  <si>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</si>
  <si>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</si>
  <si>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</si>
  <si>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</si>
  <si>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</si>
  <si>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</si>
  <si>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</si>
  <si>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</si>
  <si>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</si>
  <si>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</si>
  <si>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</si>
  <si>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</si>
  <si>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</si>
  <si>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</si>
  <si>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</si>
  <si>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</si>
  <si>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</si>
  <si>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</si>
  <si>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</si>
  <si>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</si>
  <si>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</si>
  <si>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</si>
  <si>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</si>
  <si>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</si>
  <si>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</si>
  <si>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</si>
  <si>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</si>
  <si>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</si>
  <si>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</si>
  <si>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</si>
  <si>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</si>
  <si>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</si>
  <si>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</si>
  <si>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</si>
  <si>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</si>
  <si>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</si>
  <si>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</si>
  <si>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</si>
  <si>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</si>
  <si>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</si>
  <si>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</si>
  <si>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</si>
  <si>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</si>
  <si>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</si>
  <si>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</si>
  <si>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</si>
  <si>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</si>
  <si>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</si>
  <si>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</si>
  <si>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</si>
  <si>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</si>
  <si>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</si>
  <si>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</si>
  <si>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</si>
  <si>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</si>
  <si>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</si>
  <si>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</si>
  <si>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</si>
  <si>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</si>
  <si>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</si>
  <si>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</si>
  <si>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</si>
  <si>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</si>
  <si>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</si>
  <si>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</si>
  <si>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</si>
  <si>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</si>
  <si>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</si>
  <si>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</si>
  <si>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</si>
  <si>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</si>
  <si>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</si>
  <si>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</si>
  <si>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</si>
  <si>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</si>
  <si>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</si>
  <si>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</si>
  <si>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</si>
  <si>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</si>
  <si>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</si>
  <si>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</si>
  <si>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</si>
  <si>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</si>
  <si>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</si>
  <si>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</si>
  <si>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</si>
  <si>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</si>
  <si>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</si>
  <si>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</si>
  <si>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</si>
  <si>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</si>
  <si>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</si>
  <si>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</si>
  <si>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</si>
  <si>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</si>
  <si>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</si>
  <si>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</si>
  <si>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</si>
  <si>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</si>
  <si>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</si>
  <si>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</si>
  <si>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</si>
  <si>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</si>
  <si>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</si>
  <si>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</si>
  <si>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</si>
  <si>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</si>
  <si>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</si>
  <si>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</si>
  <si>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</si>
  <si>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</si>
  <si>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</si>
  <si>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</si>
  <si>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</si>
  <si>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</si>
  <si>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</si>
  <si>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</si>
  <si>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</si>
  <si>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</si>
  <si>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</si>
  <si>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</si>
  <si>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</si>
  <si>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</si>
  <si>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</si>
  <si>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</si>
  <si>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</si>
  <si>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</si>
  <si>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</si>
  <si>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</si>
  <si>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</si>
  <si>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</si>
  <si>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</si>
  <si>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</si>
  <si>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</si>
  <si>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</si>
  <si>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</si>
  <si>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</si>
  <si>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</si>
  <si>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</si>
  <si>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</si>
  <si>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</si>
  <si>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</si>
  <si>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</si>
  <si>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</si>
  <si>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</si>
  <si>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</si>
  <si>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</si>
  <si>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</si>
  <si>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</si>
  <si>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</si>
  <si>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</si>
  <si>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</si>
  <si>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</si>
  <si>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</si>
  <si>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</si>
  <si>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</si>
  <si>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</si>
  <si>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</si>
  <si>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</si>
  <si>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</si>
  <si>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</si>
  <si>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</si>
  <si>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</si>
  <si>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</si>
  <si>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</si>
  <si>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</si>
  <si>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</si>
  <si>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</si>
  <si>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</si>
  <si>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</si>
  <si>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</si>
  <si>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</si>
  <si>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</si>
  <si>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</si>
  <si>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</si>
  <si>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</si>
  <si>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</si>
  <si>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</si>
  <si>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</si>
  <si>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</si>
  <si>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</si>
  <si>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</si>
  <si>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</si>
  <si>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</si>
  <si>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</si>
  <si>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</si>
  <si>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</si>
  <si>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</si>
  <si>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</si>
  <si>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</si>
  <si>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</si>
  <si>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</si>
  <si>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</si>
  <si>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</si>
  <si>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</si>
  <si>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</si>
  <si>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</si>
  <si>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</si>
  <si>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</si>
  <si>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</si>
  <si>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</si>
  <si>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</si>
  <si>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</si>
  <si>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</si>
  <si>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</si>
  <si>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</si>
  <si>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</si>
  <si>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</si>
  <si>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</si>
  <si>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2020/21</t>
  </si>
  <si>
    <t>Paragraph 6 &amp; Paragraph 11A</t>
  </si>
  <si>
    <t>Release for 2020/21 charge setting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</si>
  <si>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</si>
  <si>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</si>
  <si>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</si>
  <si>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</si>
  <si>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</si>
  <si>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</si>
  <si>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</si>
  <si>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SHEPD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</si>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</sst>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  <xf numFmtId="0" fontId="33" fillId="0" borderId="0"/>
  </cellStyleXfs>
  <cellXfs count="227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</cellXfs>
  <cellStyles count="66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rmal 2" xfId="65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35" sqref="D3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6" t="s">
        <v>753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43389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3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01 April 2020 DCUSA Charging Methodologies Pre-Release (released 09/10/2018)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760</v>
      </c>
      <c r="E16" s="42"/>
    </row>
    <row r="17" spans="1:5" x14ac:dyDescent="0.25">
      <c r="A17" s="42"/>
      <c r="B17" s="43"/>
      <c r="C17" s="42"/>
      <c r="D17" s="48" t="s">
        <v>726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3" t="s">
        <v>751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3" t="s">
        <v>761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3" t="s">
        <v>762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223" t="s">
        <v>762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512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479</v>
      </c>
      <c r="E34" s="42"/>
    </row>
    <row r="35" spans="1:5" x14ac:dyDescent="0.25">
      <c r="A35" s="42"/>
      <c r="B35" s="57" t="s">
        <v>265</v>
      </c>
      <c r="C35" s="53"/>
      <c r="D35" s="53" t="s">
        <v>480</v>
      </c>
      <c r="E35" s="42"/>
    </row>
    <row r="36" spans="1:5" x14ac:dyDescent="0.25">
      <c r="A36" s="42"/>
      <c r="B36" s="58" t="s">
        <v>265</v>
      </c>
      <c r="C36" s="53"/>
      <c r="D36" s="54" t="s">
        <v>495</v>
      </c>
      <c r="E36" s="42"/>
    </row>
    <row r="37" spans="1:5" x14ac:dyDescent="0.25">
      <c r="A37" s="42"/>
      <c r="B37" s="59" t="s">
        <v>478</v>
      </c>
      <c r="C37" s="53"/>
      <c r="D37" s="54" t="s">
        <v>481</v>
      </c>
      <c r="E37" s="42"/>
    </row>
    <row r="38" spans="1:5" ht="15" customHeight="1" x14ac:dyDescent="0.25">
      <c r="A38" s="42"/>
      <c r="B38" s="60" t="s">
        <v>478</v>
      </c>
      <c r="C38" s="53"/>
      <c r="D38" s="53" t="s">
        <v>482</v>
      </c>
      <c r="E38" s="42"/>
    </row>
    <row r="39" spans="1:5" ht="15" customHeight="1" x14ac:dyDescent="0.25">
      <c r="A39" s="42"/>
      <c r="B39" s="50" t="s">
        <v>478</v>
      </c>
      <c r="C39" s="53"/>
      <c r="D39" s="53" t="s">
        <v>483</v>
      </c>
      <c r="E39" s="42"/>
    </row>
    <row r="40" spans="1:5" ht="15" customHeight="1" x14ac:dyDescent="0.25">
      <c r="A40" s="42"/>
      <c r="B40" s="61" t="s">
        <v>478</v>
      </c>
      <c r="C40" s="53"/>
      <c r="D40" s="53" t="s">
        <v>508</v>
      </c>
      <c r="E40" s="42"/>
    </row>
    <row r="41" spans="1:5" ht="15" customHeight="1" x14ac:dyDescent="0.25">
      <c r="A41" s="42"/>
      <c r="B41" s="62" t="s">
        <v>478</v>
      </c>
      <c r="C41" s="53"/>
      <c r="D41" s="53" t="s">
        <v>509</v>
      </c>
      <c r="E41" s="42"/>
    </row>
    <row r="42" spans="1:5" ht="15" customHeight="1" x14ac:dyDescent="0.25">
      <c r="A42" s="42"/>
      <c r="B42" s="63" t="s">
        <v>478</v>
      </c>
      <c r="C42" s="53"/>
      <c r="D42" s="53" t="s">
        <v>510</v>
      </c>
      <c r="E42" s="42"/>
    </row>
    <row r="43" spans="1:5" ht="15" customHeight="1" x14ac:dyDescent="0.25">
      <c r="A43" s="42"/>
      <c r="B43" s="64" t="s">
        <v>507</v>
      </c>
      <c r="C43" s="53"/>
      <c r="D43" s="53" t="s">
        <v>511</v>
      </c>
      <c r="E43" s="42"/>
    </row>
    <row r="44" spans="1:5" ht="15" customHeight="1" x14ac:dyDescent="0.25">
      <c r="A44" s="42"/>
      <c r="B44" s="65" t="s">
        <v>507</v>
      </c>
      <c r="C44" s="53"/>
      <c r="D44" s="54" t="s">
        <v>490</v>
      </c>
      <c r="E44" s="42"/>
    </row>
    <row r="45" spans="1:5" ht="15" customHeight="1" x14ac:dyDescent="0.25">
      <c r="A45" s="42"/>
      <c r="B45" s="66" t="s">
        <v>507</v>
      </c>
      <c r="C45" s="53"/>
      <c r="D45" s="54" t="s">
        <v>491</v>
      </c>
      <c r="E45" s="42"/>
    </row>
    <row r="46" spans="1:5" ht="15" customHeight="1" x14ac:dyDescent="0.25">
      <c r="A46" s="42"/>
      <c r="B46" s="67" t="s">
        <v>507</v>
      </c>
      <c r="C46" s="68"/>
      <c r="D46" s="69" t="s">
        <v>492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442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444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70899999.99999997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12628224.582701057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144771775.41729894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116300000.00000004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0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0.12569832402234646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0.87430167597765351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415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0.12569832402234646</v>
      </c>
      <c r="K34" s="180">
        <f>H$31</f>
        <v>0.87430167597765351</v>
      </c>
      <c r="L34" s="181"/>
      <c r="M34" s="181"/>
      <c r="N34" s="181"/>
      <c r="O34" s="74"/>
      <c r="P34" s="115" t="s">
        <v>570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8912011.1731843594</v>
      </c>
      <c r="K40" s="130">
        <f>SUMPRODUCT($H21:$H25, K34:K38)</f>
        <v>61987988.826815605</v>
      </c>
      <c r="L40" s="130">
        <f>SUMPRODUCT($H21:$H25, L34:L38)</f>
        <v>12628224.582701057</v>
      </c>
      <c r="M40" s="130">
        <f>SUMPRODUCT($H21:$H25, M34:M38)</f>
        <v>144771775.41729894</v>
      </c>
      <c r="N40" s="130">
        <f>SUMPRODUCT($H21:$H25, N34:N38)</f>
        <v>116300000.00000004</v>
      </c>
      <c r="O40" s="74"/>
      <c r="P40" s="115" t="s">
        <v>576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344600000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25">
      <c r="A42" s="73"/>
      <c r="B42" s="73"/>
      <c r="C42" s="73"/>
      <c r="D42" s="73"/>
      <c r="E42" s="115" t="s">
        <v>488</v>
      </c>
      <c r="F42" s="73"/>
      <c r="G42" s="115" t="s">
        <v>471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2.5861901257064304E-2</v>
      </c>
      <c r="K44" s="154">
        <f>IF($H42, K40 / $H41, 0)</f>
        <v>0.17988389096580268</v>
      </c>
      <c r="L44" s="154">
        <f>IF($H42, L40 / $H41, 0)</f>
        <v>3.6646037674698366E-2</v>
      </c>
      <c r="M44" s="154">
        <f>IF($H42, M40 / $H41, 0)</f>
        <v>0.42011542489059472</v>
      </c>
      <c r="N44" s="154">
        <f>IF($H42, N40 / $H41, 0)</f>
        <v>0.33749274521183992</v>
      </c>
      <c r="O44" s="74"/>
      <c r="P44" s="115" t="s">
        <v>576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MEAV!E118</f>
        <v>EHV reduction rate</v>
      </c>
      <c r="F49" s="73"/>
      <c r="G49" s="115" t="str">
        <f>MEAV!G118</f>
        <v>%</v>
      </c>
      <c r="H49" s="166">
        <f>MEAV!H118</f>
        <v>0.67215695236238293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416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3">
        <f>J34</f>
        <v>0.12569832402234646</v>
      </c>
      <c r="K52" s="213">
        <f>K34</f>
        <v>0.87430167597765351</v>
      </c>
      <c r="L52" s="181"/>
      <c r="M52" s="181"/>
      <c r="N52" s="181"/>
      <c r="O52" s="74"/>
      <c r="P52" s="115" t="s">
        <v>570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4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4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0.67215695236238293</v>
      </c>
      <c r="O55" s="74"/>
      <c r="P55" s="115" t="s">
        <v>577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7"/>
      <c r="K56" s="207"/>
      <c r="L56" s="207"/>
      <c r="M56" s="207"/>
      <c r="N56" s="150">
        <f>H$49</f>
        <v>0.67215695236238293</v>
      </c>
      <c r="O56" s="74"/>
      <c r="P56" s="115" t="s">
        <v>577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8912011.1731843594</v>
      </c>
      <c r="K58" s="130">
        <f>SUMPRODUCT($H21:$H25, K52:K56)</f>
        <v>61987988.826815605</v>
      </c>
      <c r="L58" s="130">
        <f>SUMPRODUCT($H21:$H25, L52:L56)</f>
        <v>12628224.582701057</v>
      </c>
      <c r="M58" s="130">
        <f>SUMPRODUCT($H21:$H25, M52:M56)</f>
        <v>144771775.41729894</v>
      </c>
      <c r="N58" s="130">
        <f>SUMPRODUCT($H21:$H25, N52:N56)</f>
        <v>78171853.559745163</v>
      </c>
      <c r="O58" s="74"/>
      <c r="P58" s="115" t="s">
        <v>576</v>
      </c>
      <c r="Q58" s="42"/>
    </row>
    <row r="59" spans="1:17" x14ac:dyDescent="0.25">
      <c r="A59" s="115"/>
      <c r="B59" s="73"/>
      <c r="C59" s="73"/>
      <c r="D59" s="73"/>
      <c r="E59" s="115" t="s">
        <v>489</v>
      </c>
      <c r="F59" s="73"/>
      <c r="G59" s="115" t="str">
        <f>G$21</f>
        <v>£</v>
      </c>
      <c r="H59" s="130">
        <f>SUM(J58:N58)</f>
        <v>306471853.55974513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25">
      <c r="A60" s="73"/>
      <c r="B60" s="73"/>
      <c r="C60" s="73"/>
      <c r="D60" s="73"/>
      <c r="E60" s="115" t="s">
        <v>488</v>
      </c>
      <c r="F60" s="73"/>
      <c r="G60" s="115" t="s">
        <v>471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2.9079378969615585E-2</v>
      </c>
      <c r="K62" s="154">
        <f>IF($H60, K58 / $H59, 0)</f>
        <v>0.20226323594421489</v>
      </c>
      <c r="L62" s="154">
        <f>IF($H60, L58 / $H59, 0)</f>
        <v>4.1205169205658386E-2</v>
      </c>
      <c r="M62" s="154">
        <f>IF($H60, M58 / $H59, 0)</f>
        <v>0.47238196178781039</v>
      </c>
      <c r="N62" s="154">
        <f>IF($H60, N58 / $H59, 0)</f>
        <v>0.25507025409270073</v>
      </c>
      <c r="O62" s="74"/>
      <c r="P62" s="115" t="s">
        <v>576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407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331778402.07861471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266500000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254248500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852526902.07861471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530</v>
      </c>
      <c r="F25" s="73"/>
      <c r="G25" s="115" t="s">
        <v>471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0.29822929854775981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0.70177070145224019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Expensed!E66</f>
        <v>Expensed proportions, by network level (EDCM)</v>
      </c>
      <c r="F33" s="73"/>
      <c r="G33" s="115" t="str">
        <f>Expensed!G67</f>
        <v>%</v>
      </c>
      <c r="H33" s="135"/>
      <c r="I33" s="135"/>
      <c r="J33" s="166">
        <f>Expensed!H67</f>
        <v>0.18130677335181422</v>
      </c>
      <c r="K33" s="166">
        <f>Expensed!H68</f>
        <v>0.22378624878182329</v>
      </c>
      <c r="L33" s="166">
        <f>Expensed!H69</f>
        <v>8.4837714606290623E-2</v>
      </c>
      <c r="M33" s="166">
        <f>Expensed!H70</f>
        <v>0.35182533348976752</v>
      </c>
      <c r="N33" s="166">
        <f>Expensed!H71</f>
        <v>0.15824392977030433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2.5861901257064304E-2</v>
      </c>
      <c r="K35" s="166">
        <f>Capitalised!K44</f>
        <v>0.17988389096580268</v>
      </c>
      <c r="L35" s="166">
        <f>Capitalised!L44</f>
        <v>3.6646037674698366E-2</v>
      </c>
      <c r="M35" s="166">
        <f>Capitalised!M44</f>
        <v>0.42011542489059472</v>
      </c>
      <c r="N35" s="166">
        <f>Capitalised!N44</f>
        <v>0.33749274521183992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7.2220116424727809E-2</v>
      </c>
      <c r="K37" s="135">
        <f>($H$27 * K33) + ($H$29 * K35)</f>
        <v>0.19297686034186726</v>
      </c>
      <c r="L37" s="135">
        <f>($H$27 * L33) + ($H$29 * L35)</f>
        <v>5.101820768184738E-2</v>
      </c>
      <c r="M37" s="135">
        <f>($H$27 * M33) + ($H$29 * M35)</f>
        <v>0.3997493188343636</v>
      </c>
      <c r="N37" s="135">
        <f>($H$27 * N33) + ($H$29 * N35)</f>
        <v>0.28403549671719391</v>
      </c>
      <c r="O37" s="74"/>
      <c r="P37" s="115" t="s">
        <v>578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Expensed!E75</f>
        <v>Expensed proportions, by network level (CDCM)</v>
      </c>
      <c r="F43" s="73"/>
      <c r="G43" s="115" t="str">
        <f>Expensed!G76</f>
        <v>%</v>
      </c>
      <c r="H43" s="135"/>
      <c r="I43" s="135"/>
      <c r="J43" s="166">
        <f>Expensed!H76</f>
        <v>0.18895844975833304</v>
      </c>
      <c r="K43" s="166">
        <f>Expensed!H77</f>
        <v>0.23379553027373381</v>
      </c>
      <c r="L43" s="166">
        <f>Expensed!H78</f>
        <v>8.7748647017397055E-2</v>
      </c>
      <c r="M43" s="166">
        <f>Expensed!H79</f>
        <v>0.36547834395846962</v>
      </c>
      <c r="N43" s="166">
        <f>Expensed!H80</f>
        <v>0.12401902899206659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2.9079378969615585E-2</v>
      </c>
      <c r="K45" s="166">
        <f>Capitalised!K62</f>
        <v>0.20226323594421489</v>
      </c>
      <c r="L45" s="166">
        <f>Capitalised!L62</f>
        <v>4.1205169205658386E-2</v>
      </c>
      <c r="M45" s="166">
        <f>Capitalised!M62</f>
        <v>0.47238196178781039</v>
      </c>
      <c r="N45" s="166">
        <f>Capitalised!N62</f>
        <v>0.25507025409270073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7.6760002103402419E-2</v>
      </c>
      <c r="K47" s="135">
        <f>($H$27 * K43) + ($H$29 * K45)</f>
        <v>0.21166708996370881</v>
      </c>
      <c r="L47" s="135">
        <f>($H$27 * L43) + ($H$29 * L45)</f>
        <v>5.5085797945426437E-2</v>
      </c>
      <c r="M47" s="135">
        <f>($H$27 * M43) + ($H$29 * M45)</f>
        <v>0.44050017083034831</v>
      </c>
      <c r="N47" s="135">
        <f>($H$27 * N43) + ($H$29 * N45)</f>
        <v>0.21598693915711403</v>
      </c>
      <c r="O47" s="74"/>
      <c r="P47" s="115" t="s">
        <v>578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505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506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175512667.00000003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5724088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439</v>
      </c>
      <c r="H62" s="152">
        <f>'DNO inputs'!H274</f>
        <v>6000000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439</v>
      </c>
      <c r="H64" s="130">
        <f>H60 + H62</f>
        <v>11724088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408</v>
      </c>
      <c r="F66" s="73"/>
      <c r="G66" s="115" t="s">
        <v>439</v>
      </c>
      <c r="H66" s="130">
        <f>H58 - H64</f>
        <v>163788579.00000003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409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439</v>
      </c>
      <c r="H69" s="145"/>
      <c r="I69" s="145"/>
      <c r="J69" s="158">
        <f>$H66 * J37</f>
        <v>11828830.24442073</v>
      </c>
      <c r="K69" s="158">
        <f>$H66 * K37</f>
        <v>31607405.735275898</v>
      </c>
      <c r="L69" s="158">
        <f>$H66 * L37</f>
        <v>8356199.7393366676</v>
      </c>
      <c r="M69" s="158">
        <f>$H66 * M37</f>
        <v>65474372.888098359</v>
      </c>
      <c r="N69" s="158">
        <f>$H66 * N37</f>
        <v>46521770.392868362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439</v>
      </c>
      <c r="H70" s="146"/>
      <c r="I70" s="147"/>
      <c r="J70" s="147">
        <f>$H66 * J47</f>
        <v>12572411.668553296</v>
      </c>
      <c r="K70" s="147">
        <f>$H66 * K47</f>
        <v>34668651.886221036</v>
      </c>
      <c r="L70" s="147">
        <f>$H66 * L47</f>
        <v>9022424.5685625169</v>
      </c>
      <c r="M70" s="147">
        <f>$H66 * M47</f>
        <v>72148897.029560015</v>
      </c>
      <c r="N70" s="147">
        <f>$H66 * N47</f>
        <v>35376193.847103171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5160000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439</v>
      </c>
      <c r="H77" s="145"/>
      <c r="I77" s="145"/>
      <c r="J77" s="158">
        <f>$H74 * J33</f>
        <v>935542.95049536135</v>
      </c>
      <c r="K77" s="158">
        <f>$H74 * K33</f>
        <v>1154737.0437142083</v>
      </c>
      <c r="L77" s="158">
        <f>$H74 * L33</f>
        <v>437762.60736845963</v>
      </c>
      <c r="M77" s="158">
        <f>$H74 * M33</f>
        <v>1815418.7208072005</v>
      </c>
      <c r="N77" s="158">
        <f>$H74 * N33</f>
        <v>816538.67761477036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439</v>
      </c>
      <c r="H78" s="146"/>
      <c r="I78" s="147"/>
      <c r="J78" s="147">
        <f>$H74 * J43</f>
        <v>975025.60075299849</v>
      </c>
      <c r="K78" s="147">
        <f>$H74 * K43</f>
        <v>1206384.9362124666</v>
      </c>
      <c r="L78" s="147">
        <f>$H74 * L43</f>
        <v>452783.01860976883</v>
      </c>
      <c r="M78" s="147">
        <f>$H74 * M43</f>
        <v>1885868.2548257033</v>
      </c>
      <c r="N78" s="147">
        <f>$H74 * N43</f>
        <v>639938.1895990636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439</v>
      </c>
      <c r="H83" s="145"/>
      <c r="I83" s="145"/>
      <c r="J83" s="145">
        <f t="shared" ref="J83:N84" si="0">J69 + J77</f>
        <v>12764373.194916092</v>
      </c>
      <c r="K83" s="145">
        <f t="shared" si="0"/>
        <v>32762142.778990105</v>
      </c>
      <c r="L83" s="145">
        <f t="shared" si="0"/>
        <v>8793962.3467051275</v>
      </c>
      <c r="M83" s="145">
        <f t="shared" si="0"/>
        <v>67289791.608905554</v>
      </c>
      <c r="N83" s="145">
        <f t="shared" si="0"/>
        <v>47338309.070483133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439</v>
      </c>
      <c r="H84" s="146"/>
      <c r="I84" s="147"/>
      <c r="J84" s="147">
        <f t="shared" si="0"/>
        <v>13547437.269306295</v>
      </c>
      <c r="K84" s="147">
        <f t="shared" si="0"/>
        <v>35875036.822433501</v>
      </c>
      <c r="L84" s="147">
        <f t="shared" si="0"/>
        <v>9475207.5871722866</v>
      </c>
      <c r="M84" s="147">
        <f t="shared" si="0"/>
        <v>74034765.284385711</v>
      </c>
      <c r="N84" s="147">
        <f t="shared" si="0"/>
        <v>36016132.036702238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282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1405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6958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7731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757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531</v>
      </c>
      <c r="F106" s="73"/>
      <c r="G106" s="115" t="s">
        <v>471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542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0.93311145146088592</v>
      </c>
      <c r="O114" s="74"/>
      <c r="P114" s="115" t="s">
        <v>567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543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0.95540763430725728</v>
      </c>
      <c r="N115" s="190">
        <f>IF($H$106, ($H$102 + $H110 * $H$104) / ($H$102 + $H$104), N$116)</f>
        <v>0.95540763430725728</v>
      </c>
      <c r="O115" s="74"/>
      <c r="P115" s="115" t="s">
        <v>567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544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6958</v>
      </c>
      <c r="K118" s="130">
        <f>SUMPRODUCT($H93:$H95, K114:K116)</f>
        <v>6958</v>
      </c>
      <c r="L118" s="130">
        <f>SUMPRODUCT($H93:$H95, L114:L116)</f>
        <v>6958</v>
      </c>
      <c r="M118" s="130">
        <f>SUMPRODUCT($H93:$H95, M114:M116)</f>
        <v>8300.3477262016968</v>
      </c>
      <c r="N118" s="130">
        <f>SUMPRODUCT($H93:$H95, N114:N116)</f>
        <v>8563.4851555136665</v>
      </c>
      <c r="O118" s="74"/>
      <c r="P118" s="115" t="s">
        <v>581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472</v>
      </c>
      <c r="F120" s="73"/>
      <c r="G120" s="115" t="s">
        <v>471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456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411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473</v>
      </c>
      <c r="H129" s="145"/>
      <c r="I129" s="145"/>
      <c r="J129" s="145">
        <f t="shared" ref="J129:N130" si="1">IF(J$120, J83 / J$118, 0)</f>
        <v>1834.4888178953854</v>
      </c>
      <c r="K129" s="145">
        <f t="shared" si="1"/>
        <v>4708.5574560204232</v>
      </c>
      <c r="L129" s="145">
        <f t="shared" si="1"/>
        <v>1263.8635163416395</v>
      </c>
      <c r="M129" s="145">
        <f t="shared" si="1"/>
        <v>8106.8641734721496</v>
      </c>
      <c r="N129" s="145">
        <f t="shared" si="1"/>
        <v>5527.9256296723997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473</v>
      </c>
      <c r="H130" s="146"/>
      <c r="I130" s="147"/>
      <c r="J130" s="147">
        <f t="shared" si="1"/>
        <v>1947.0303635105338</v>
      </c>
      <c r="K130" s="147">
        <f t="shared" si="1"/>
        <v>5155.9409057823368</v>
      </c>
      <c r="L130" s="147">
        <f t="shared" si="1"/>
        <v>1361.7717141667558</v>
      </c>
      <c r="M130" s="147">
        <f t="shared" si="1"/>
        <v>8919.4775600400772</v>
      </c>
      <c r="N130" s="147">
        <f t="shared" si="1"/>
        <v>4205.7797009799187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474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473</v>
      </c>
      <c r="H133" s="145">
        <f>SUM(J129:N129)</f>
        <v>21441.699593401994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473</v>
      </c>
      <c r="H134" s="146">
        <f>SUM(J130:N130)</f>
        <v>21590.000244479619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5"/>
      <c r="G136" s="115" t="s">
        <v>473</v>
      </c>
      <c r="H136" s="130">
        <f>IF(N120, H64 / N118, 0)</f>
        <v>1369.0790358235577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532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471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471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410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8.0422016613891797E-2</v>
      </c>
      <c r="K145" s="180">
        <f t="shared" si="2"/>
        <v>0.20641809438226455</v>
      </c>
      <c r="L145" s="180">
        <f t="shared" si="2"/>
        <v>5.5406417154141178E-2</v>
      </c>
      <c r="M145" s="180">
        <f t="shared" si="2"/>
        <v>0.35539620568170782</v>
      </c>
      <c r="N145" s="180">
        <f t="shared" si="2"/>
        <v>0.24233831380880305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8.4804374763447529E-2</v>
      </c>
      <c r="K146" s="192">
        <f t="shared" si="2"/>
        <v>0.22457089166487917</v>
      </c>
      <c r="L146" s="192">
        <f t="shared" si="2"/>
        <v>5.931299324076264E-2</v>
      </c>
      <c r="M146" s="192">
        <f t="shared" si="2"/>
        <v>0.38849456683971584</v>
      </c>
      <c r="N146" s="193">
        <f t="shared" si="2"/>
        <v>0.18318590434887774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412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6.0018952359191753E-2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5.9631269142317228E-2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44</v>
      </c>
      <c r="H153" s="195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44</v>
      </c>
      <c r="H154" s="199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200"/>
      <c r="G158" s="115" t="s">
        <v>44</v>
      </c>
      <c r="H158" s="154">
        <f>H149</f>
        <v>6.0018952359191753E-2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MEAV!E89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MEAV!F90</f>
        <v>EHV/HV</v>
      </c>
      <c r="G163" s="113" t="str">
        <f>MEAV!G90</f>
        <v>%</v>
      </c>
      <c r="H163" s="172">
        <f>MEAV!H90</f>
        <v>0.30420449402607624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MEAV!F91</f>
        <v>EHV</v>
      </c>
      <c r="G164" s="115" t="str">
        <f>MEAV!G91</f>
        <v>%</v>
      </c>
      <c r="H164" s="166">
        <f>MEAV!H91</f>
        <v>0.65108009752928186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MEAV!F92</f>
        <v>132kV/EHV</v>
      </c>
      <c r="G165" s="115" t="str">
        <f>MEAV!G92</f>
        <v>%</v>
      </c>
      <c r="H165" s="166">
        <f>MEAV!H92</f>
        <v>4.4715408444641828E-2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MEAV!F93</f>
        <v>132kV</v>
      </c>
      <c r="G166" s="117" t="str">
        <f>MEAV!G93</f>
        <v>%</v>
      </c>
      <c r="H166" s="173">
        <f>MEAV!H93</f>
        <v>0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0.28684011099615636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10">
        <f>L145</f>
        <v>5.5406417154141178E-2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0.35539620568170782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7.3720404135339423E-2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0.15778165298971719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1.0836256683746413E-2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1.0836256683746413E-2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0.15778165298971719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7.3720404135339423E-2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0.35539620568170782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5.5406417154141178E-2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0.28684011099615636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1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497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498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454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5650000</v>
      </c>
      <c r="K21" s="156">
        <f>Expenditure!K133</f>
        <v>7800000.0000000009</v>
      </c>
      <c r="L21" s="156">
        <f>Expenditure!L133</f>
        <v>572036.52556517173</v>
      </c>
      <c r="M21" s="156">
        <f>Expenditure!M133</f>
        <v>465331.11966271687</v>
      </c>
      <c r="N21" s="156">
        <f>Expenditure!N133</f>
        <v>1302698.7648906054</v>
      </c>
      <c r="O21" s="156">
        <f>Expenditure!O133</f>
        <v>200000</v>
      </c>
      <c r="P21" s="156">
        <f>Expenditure!P133</f>
        <v>17334.440168641562</v>
      </c>
      <c r="Q21" s="156">
        <f>Expenditure!Q133</f>
        <v>260016.60252962352</v>
      </c>
      <c r="R21" s="156">
        <f>Expenditure!R133</f>
        <v>294685.48286690668</v>
      </c>
      <c r="S21" s="156">
        <f>Expenditure!S133</f>
        <v>1993460.6193937804</v>
      </c>
      <c r="T21" s="156">
        <f>Expenditure!T133</f>
        <v>294685.48286690668</v>
      </c>
      <c r="U21" s="156">
        <f>Expenditure!U133</f>
        <v>104006.64101184942</v>
      </c>
      <c r="V21" s="156">
        <f>Expenditure!V133</f>
        <v>190678.84185505725</v>
      </c>
      <c r="W21" s="156">
        <f>Expenditure!W133</f>
        <v>156009.96151777409</v>
      </c>
      <c r="X21" s="156">
        <f>Expenditure!X133</f>
        <v>936059.76910664467</v>
      </c>
      <c r="Y21" s="156">
        <f>Expenditure!Y133</f>
        <v>0</v>
      </c>
      <c r="Z21" s="156">
        <f>Expenditure!Z133</f>
        <v>0</v>
      </c>
      <c r="AA21" s="156">
        <f>Expenditure!AA133</f>
        <v>190678.84185505725</v>
      </c>
      <c r="AB21" s="156">
        <f>Expenditure!AB133</f>
        <v>138675.52134913253</v>
      </c>
      <c r="AC21" s="156">
        <f>Expenditure!AC133</f>
        <v>762715.36742022901</v>
      </c>
      <c r="AD21" s="156">
        <f>Expenditure!AD133</f>
        <v>346688.80337283137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2">
        <f>Expenditure!J139</f>
        <v>889999.99999999988</v>
      </c>
      <c r="K22" s="202">
        <f>Expenditure!K139</f>
        <v>12500000</v>
      </c>
      <c r="L22" s="202">
        <f>Expenditure!L139</f>
        <v>1153811.0297950539</v>
      </c>
      <c r="M22" s="202">
        <f>Expenditure!M139</f>
        <v>1830072.0588002997</v>
      </c>
      <c r="N22" s="202">
        <f>Expenditure!N139</f>
        <v>1913955.1473956532</v>
      </c>
      <c r="O22" s="202">
        <f>Expenditure!O139</f>
        <v>2000000</v>
      </c>
      <c r="P22" s="202">
        <f>Expenditure!P139</f>
        <v>34963.970599850109</v>
      </c>
      <c r="Q22" s="202">
        <f>Expenditure!Q139</f>
        <v>524459.5589977518</v>
      </c>
      <c r="R22" s="202">
        <f>Expenditure!R139</f>
        <v>594387.50019745214</v>
      </c>
      <c r="S22" s="202">
        <f>Expenditure!S139</f>
        <v>4020856.6189827635</v>
      </c>
      <c r="T22" s="202">
        <f>Expenditure!T139</f>
        <v>594387.50019745214</v>
      </c>
      <c r="U22" s="202">
        <f>Expenditure!U139</f>
        <v>209783.82359910075</v>
      </c>
      <c r="V22" s="202">
        <f>Expenditure!V139</f>
        <v>384603.67659835133</v>
      </c>
      <c r="W22" s="202">
        <f>Expenditure!W139</f>
        <v>314675.73539865104</v>
      </c>
      <c r="X22" s="202">
        <f>Expenditure!X139</f>
        <v>1888054.4123919064</v>
      </c>
      <c r="Y22" s="202">
        <f>Expenditure!Y139</f>
        <v>0</v>
      </c>
      <c r="Z22" s="202">
        <f>Expenditure!Z139</f>
        <v>0</v>
      </c>
      <c r="AA22" s="202">
        <f>Expenditure!AA139</f>
        <v>384603.67659835133</v>
      </c>
      <c r="AB22" s="202">
        <f>Expenditure!AB139</f>
        <v>279711.76479880093</v>
      </c>
      <c r="AC22" s="202">
        <f>Expenditure!AC139</f>
        <v>1538414.7063934053</v>
      </c>
      <c r="AD22" s="202">
        <f>Expenditure!AD139</f>
        <v>699279.41199700243</v>
      </c>
      <c r="AE22" s="202">
        <f>Expenditure!AE139</f>
        <v>0</v>
      </c>
      <c r="AF22" s="202">
        <f>Expenditure!AF139</f>
        <v>0</v>
      </c>
      <c r="AG22" s="202">
        <f>Expenditure!AG139</f>
        <v>0</v>
      </c>
      <c r="AH22" s="202">
        <f>Expenditure!AH139</f>
        <v>0</v>
      </c>
      <c r="AI22" s="202">
        <f>Expenditure!AI139</f>
        <v>0</v>
      </c>
      <c r="AJ22" s="202">
        <f>Expenditure!AJ139</f>
        <v>0</v>
      </c>
      <c r="AK22" s="202">
        <f>Expenditure!AK139</f>
        <v>0</v>
      </c>
      <c r="AL22" s="202">
        <f>Expenditure!AL139</f>
        <v>0</v>
      </c>
      <c r="AM22" s="202">
        <f>Expenditure!AM139</f>
        <v>0</v>
      </c>
      <c r="AN22" s="202">
        <f>Expenditure!AN139</f>
        <v>0</v>
      </c>
      <c r="AO22" s="202">
        <f>Expenditure!AO139</f>
        <v>0</v>
      </c>
      <c r="AP22" s="202">
        <f>Expenditure!AP139</f>
        <v>0</v>
      </c>
      <c r="AQ22" s="202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1603038.9102868256</v>
      </c>
      <c r="L23" s="152">
        <f>Expenditure!L136</f>
        <v>646640.43541917473</v>
      </c>
      <c r="M23" s="152">
        <f>Expenditure!M136</f>
        <v>957293.3175157099</v>
      </c>
      <c r="N23" s="152">
        <f>Expenditure!N136</f>
        <v>1088164.2880248628</v>
      </c>
      <c r="O23" s="152">
        <f>Expenditure!O136</f>
        <v>173301.50381479197</v>
      </c>
      <c r="P23" s="152">
        <f>Expenditure!P136</f>
        <v>19595.164709671957</v>
      </c>
      <c r="Q23" s="152">
        <f>Expenditure!Q136</f>
        <v>293927.47064507939</v>
      </c>
      <c r="R23" s="152">
        <f>Expenditure!R136</f>
        <v>333117.80006442341</v>
      </c>
      <c r="S23" s="152">
        <f>Expenditure!S136</f>
        <v>2253443.9416122753</v>
      </c>
      <c r="T23" s="152">
        <f>Expenditure!T136</f>
        <v>333117.80006442341</v>
      </c>
      <c r="U23" s="152">
        <f>Expenditure!U136</f>
        <v>117570.98825803179</v>
      </c>
      <c r="V23" s="152">
        <f>Expenditure!V136</f>
        <v>215546.81180639158</v>
      </c>
      <c r="W23" s="152">
        <f>Expenditure!W136</f>
        <v>176356.48238704764</v>
      </c>
      <c r="X23" s="152">
        <f>Expenditure!X136</f>
        <v>1058138.8943222859</v>
      </c>
      <c r="Y23" s="152">
        <f>Expenditure!Y136</f>
        <v>0</v>
      </c>
      <c r="Z23" s="152">
        <f>Expenditure!Z136</f>
        <v>0</v>
      </c>
      <c r="AA23" s="152">
        <f>Expenditure!AA136</f>
        <v>215546.81180639158</v>
      </c>
      <c r="AB23" s="152">
        <f>Expenditure!AB136</f>
        <v>156761.31767737566</v>
      </c>
      <c r="AC23" s="152">
        <f>Expenditure!AC136</f>
        <v>862187.2472255663</v>
      </c>
      <c r="AD23" s="152">
        <f>Expenditure!AD136</f>
        <v>391903.29419343924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300000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3359999.9999999995</v>
      </c>
      <c r="K24" s="162">
        <f>Expenditure!K137</f>
        <v>2096961.0897131744</v>
      </c>
      <c r="L24" s="162">
        <f>Expenditure!L137</f>
        <v>845880.79765735311</v>
      </c>
      <c r="M24" s="162">
        <f>Expenditure!M137</f>
        <v>1252250.8501766217</v>
      </c>
      <c r="N24" s="162">
        <f>Expenditure!N137</f>
        <v>1423445.2804363281</v>
      </c>
      <c r="O24" s="162">
        <f>Expenditure!O137</f>
        <v>226698.49618520803</v>
      </c>
      <c r="P24" s="162">
        <f>Expenditure!P137</f>
        <v>25632.751444162208</v>
      </c>
      <c r="Q24" s="162">
        <f>Expenditure!Q137</f>
        <v>384491.27166243322</v>
      </c>
      <c r="R24" s="162">
        <f>Expenditure!R137</f>
        <v>435756.77455075772</v>
      </c>
      <c r="S24" s="162">
        <f>Expenditure!S137</f>
        <v>2947766.416078655</v>
      </c>
      <c r="T24" s="162">
        <f>Expenditure!T137</f>
        <v>435756.77455075772</v>
      </c>
      <c r="U24" s="162">
        <f>Expenditure!U137</f>
        <v>153796.50866497331</v>
      </c>
      <c r="V24" s="162">
        <f>Expenditure!V137</f>
        <v>281960.26588578435</v>
      </c>
      <c r="W24" s="162">
        <f>Expenditure!W137</f>
        <v>230694.76299745991</v>
      </c>
      <c r="X24" s="162">
        <f>Expenditure!X137</f>
        <v>1384168.5779847596</v>
      </c>
      <c r="Y24" s="162">
        <f>Expenditure!Y137</f>
        <v>0</v>
      </c>
      <c r="Z24" s="162">
        <f>Expenditure!Z137</f>
        <v>0</v>
      </c>
      <c r="AA24" s="162">
        <f>Expenditure!AA137</f>
        <v>281960.26588578435</v>
      </c>
      <c r="AB24" s="162">
        <f>Expenditure!AB137</f>
        <v>205062.01155329769</v>
      </c>
      <c r="AC24" s="162">
        <f>Expenditure!AC137</f>
        <v>1127841.0635431374</v>
      </c>
      <c r="AD24" s="162">
        <f>Expenditure!AD137</f>
        <v>512655.02888324432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439</v>
      </c>
      <c r="H27" s="145"/>
      <c r="I27" s="145"/>
      <c r="J27" s="145">
        <f t="shared" ref="J27:AQ27" si="0">MAX(J21, 0)</f>
        <v>5650000</v>
      </c>
      <c r="K27" s="145">
        <f t="shared" si="0"/>
        <v>7800000.0000000009</v>
      </c>
      <c r="L27" s="145">
        <f t="shared" si="0"/>
        <v>572036.52556517173</v>
      </c>
      <c r="M27" s="145">
        <f t="shared" si="0"/>
        <v>465331.11966271687</v>
      </c>
      <c r="N27" s="145">
        <f t="shared" si="0"/>
        <v>1302698.7648906054</v>
      </c>
      <c r="O27" s="145">
        <f t="shared" si="0"/>
        <v>200000</v>
      </c>
      <c r="P27" s="145">
        <f t="shared" si="0"/>
        <v>17334.440168641562</v>
      </c>
      <c r="Q27" s="145">
        <f t="shared" si="0"/>
        <v>260016.60252962352</v>
      </c>
      <c r="R27" s="145">
        <f t="shared" si="0"/>
        <v>294685.48286690668</v>
      </c>
      <c r="S27" s="145">
        <f t="shared" si="0"/>
        <v>1993460.6193937804</v>
      </c>
      <c r="T27" s="145">
        <f t="shared" si="0"/>
        <v>294685.48286690668</v>
      </c>
      <c r="U27" s="145">
        <f t="shared" si="0"/>
        <v>104006.64101184942</v>
      </c>
      <c r="V27" s="145">
        <f t="shared" si="0"/>
        <v>190678.84185505725</v>
      </c>
      <c r="W27" s="145">
        <f t="shared" si="0"/>
        <v>156009.96151777409</v>
      </c>
      <c r="X27" s="145">
        <f t="shared" si="0"/>
        <v>936059.76910664467</v>
      </c>
      <c r="Y27" s="145">
        <f t="shared" si="0"/>
        <v>0</v>
      </c>
      <c r="Z27" s="145">
        <f t="shared" si="0"/>
        <v>0</v>
      </c>
      <c r="AA27" s="145">
        <f t="shared" si="0"/>
        <v>190678.84185505725</v>
      </c>
      <c r="AB27" s="145">
        <f t="shared" si="0"/>
        <v>138675.52134913253</v>
      </c>
      <c r="AC27" s="145">
        <f t="shared" si="0"/>
        <v>762715.36742022901</v>
      </c>
      <c r="AD27" s="145">
        <f t="shared" si="0"/>
        <v>346688.80337283137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439</v>
      </c>
      <c r="H28" s="130"/>
      <c r="I28" s="130"/>
      <c r="J28" s="130">
        <f t="shared" ref="J28:AQ28" si="2">MAX(J22, 0)</f>
        <v>889999.99999999988</v>
      </c>
      <c r="K28" s="130">
        <f t="shared" si="2"/>
        <v>12500000</v>
      </c>
      <c r="L28" s="130">
        <f t="shared" si="2"/>
        <v>1153811.0297950539</v>
      </c>
      <c r="M28" s="130">
        <f t="shared" si="2"/>
        <v>1830072.0588002997</v>
      </c>
      <c r="N28" s="130">
        <f t="shared" si="2"/>
        <v>1913955.1473956532</v>
      </c>
      <c r="O28" s="130">
        <f t="shared" si="2"/>
        <v>2000000</v>
      </c>
      <c r="P28" s="130">
        <f t="shared" si="2"/>
        <v>34963.970599850109</v>
      </c>
      <c r="Q28" s="130">
        <f t="shared" si="2"/>
        <v>524459.5589977518</v>
      </c>
      <c r="R28" s="130">
        <f t="shared" si="2"/>
        <v>594387.50019745214</v>
      </c>
      <c r="S28" s="130">
        <f t="shared" si="2"/>
        <v>4020856.6189827635</v>
      </c>
      <c r="T28" s="130">
        <f t="shared" si="2"/>
        <v>594387.50019745214</v>
      </c>
      <c r="U28" s="130">
        <f t="shared" si="2"/>
        <v>209783.82359910075</v>
      </c>
      <c r="V28" s="130">
        <f t="shared" si="2"/>
        <v>384603.67659835133</v>
      </c>
      <c r="W28" s="130">
        <f t="shared" si="2"/>
        <v>314675.73539865104</v>
      </c>
      <c r="X28" s="130">
        <f t="shared" si="2"/>
        <v>1888054.4123919064</v>
      </c>
      <c r="Y28" s="130">
        <f t="shared" si="2"/>
        <v>0</v>
      </c>
      <c r="Z28" s="130">
        <f t="shared" si="2"/>
        <v>0</v>
      </c>
      <c r="AA28" s="130">
        <f t="shared" si="2"/>
        <v>384603.67659835133</v>
      </c>
      <c r="AB28" s="130">
        <f t="shared" si="2"/>
        <v>279711.76479880093</v>
      </c>
      <c r="AC28" s="130">
        <f t="shared" si="2"/>
        <v>1538414.7063934053</v>
      </c>
      <c r="AD28" s="130">
        <f t="shared" si="2"/>
        <v>699279.41199700243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439</v>
      </c>
      <c r="H29" s="130"/>
      <c r="I29" s="130"/>
      <c r="J29" s="130">
        <f t="shared" ref="J29:AQ29" si="4">MAX(J23, 0)</f>
        <v>0</v>
      </c>
      <c r="K29" s="130">
        <f t="shared" si="4"/>
        <v>1603038.9102868256</v>
      </c>
      <c r="L29" s="130">
        <f t="shared" si="4"/>
        <v>646640.43541917473</v>
      </c>
      <c r="M29" s="130">
        <f t="shared" si="4"/>
        <v>957293.3175157099</v>
      </c>
      <c r="N29" s="130">
        <f t="shared" si="4"/>
        <v>1088164.2880248628</v>
      </c>
      <c r="O29" s="130">
        <f t="shared" si="4"/>
        <v>173301.50381479197</v>
      </c>
      <c r="P29" s="130">
        <f t="shared" si="4"/>
        <v>19595.164709671957</v>
      </c>
      <c r="Q29" s="130">
        <f t="shared" si="4"/>
        <v>293927.47064507939</v>
      </c>
      <c r="R29" s="130">
        <f t="shared" si="4"/>
        <v>333117.80006442341</v>
      </c>
      <c r="S29" s="130">
        <f t="shared" si="4"/>
        <v>2253443.9416122753</v>
      </c>
      <c r="T29" s="130">
        <f t="shared" si="4"/>
        <v>333117.80006442341</v>
      </c>
      <c r="U29" s="130">
        <f t="shared" si="4"/>
        <v>117570.98825803179</v>
      </c>
      <c r="V29" s="130">
        <f t="shared" si="4"/>
        <v>215546.81180639158</v>
      </c>
      <c r="W29" s="130">
        <f t="shared" si="4"/>
        <v>176356.48238704764</v>
      </c>
      <c r="X29" s="130">
        <f t="shared" si="4"/>
        <v>1058138.8943222859</v>
      </c>
      <c r="Y29" s="130">
        <f t="shared" si="4"/>
        <v>0</v>
      </c>
      <c r="Z29" s="130">
        <f t="shared" si="4"/>
        <v>0</v>
      </c>
      <c r="AA29" s="130">
        <f t="shared" si="4"/>
        <v>215546.81180639158</v>
      </c>
      <c r="AB29" s="130">
        <f t="shared" si="4"/>
        <v>156761.31767737566</v>
      </c>
      <c r="AC29" s="130">
        <f t="shared" si="4"/>
        <v>862187.2472255663</v>
      </c>
      <c r="AD29" s="130">
        <f t="shared" si="4"/>
        <v>391903.29419343924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300000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439</v>
      </c>
      <c r="H30" s="146"/>
      <c r="I30" s="147"/>
      <c r="J30" s="147">
        <f t="shared" ref="J30:AQ30" si="6">MAX(J24, 0)</f>
        <v>3359999.9999999995</v>
      </c>
      <c r="K30" s="147">
        <f t="shared" si="6"/>
        <v>2096961.0897131744</v>
      </c>
      <c r="L30" s="147">
        <f t="shared" si="6"/>
        <v>845880.79765735311</v>
      </c>
      <c r="M30" s="147">
        <f t="shared" si="6"/>
        <v>1252250.8501766217</v>
      </c>
      <c r="N30" s="147">
        <f t="shared" si="6"/>
        <v>1423445.2804363281</v>
      </c>
      <c r="O30" s="147">
        <f t="shared" si="6"/>
        <v>226698.49618520803</v>
      </c>
      <c r="P30" s="147">
        <f t="shared" si="6"/>
        <v>25632.751444162208</v>
      </c>
      <c r="Q30" s="147">
        <f t="shared" si="6"/>
        <v>384491.27166243322</v>
      </c>
      <c r="R30" s="147">
        <f t="shared" si="6"/>
        <v>435756.77455075772</v>
      </c>
      <c r="S30" s="147">
        <f t="shared" si="6"/>
        <v>2947766.416078655</v>
      </c>
      <c r="T30" s="147">
        <f t="shared" si="6"/>
        <v>435756.77455075772</v>
      </c>
      <c r="U30" s="147">
        <f t="shared" si="6"/>
        <v>153796.50866497331</v>
      </c>
      <c r="V30" s="147">
        <f t="shared" si="6"/>
        <v>281960.26588578435</v>
      </c>
      <c r="W30" s="147">
        <f t="shared" si="6"/>
        <v>230694.76299745991</v>
      </c>
      <c r="X30" s="147">
        <f t="shared" si="6"/>
        <v>1384168.5779847596</v>
      </c>
      <c r="Y30" s="147">
        <f t="shared" si="6"/>
        <v>0</v>
      </c>
      <c r="Z30" s="147">
        <f t="shared" si="6"/>
        <v>0</v>
      </c>
      <c r="AA30" s="147">
        <f t="shared" si="6"/>
        <v>281960.26588578435</v>
      </c>
      <c r="AB30" s="147">
        <f t="shared" si="6"/>
        <v>205062.01155329769</v>
      </c>
      <c r="AC30" s="147">
        <f t="shared" si="6"/>
        <v>1127841.0635431374</v>
      </c>
      <c r="AD30" s="147">
        <f t="shared" si="6"/>
        <v>512655.02888324432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439</v>
      </c>
      <c r="H35" s="145">
        <f>SUM(J27:AQ27)</f>
        <v>21675762.785432924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439</v>
      </c>
      <c r="H36" s="130">
        <f>SUM(J28:AQ28)</f>
        <v>31756020.592741836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439</v>
      </c>
      <c r="H37" s="130">
        <f>SUM(J29:AQ29)</f>
        <v>11195652.479833767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439</v>
      </c>
      <c r="H38" s="146">
        <f>SUM(J30:AQ30)</f>
        <v>17612778.987853892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3">
        <f>'Fixed inputs'!H140</f>
        <v>1</v>
      </c>
      <c r="K40" s="203">
        <f>'Fixed inputs'!H141</f>
        <v>1</v>
      </c>
      <c r="L40" s="203">
        <f>'Fixed inputs'!H142</f>
        <v>1</v>
      </c>
      <c r="M40" s="203">
        <f>'Fixed inputs'!H143</f>
        <v>1</v>
      </c>
      <c r="N40" s="203">
        <f>'Fixed inputs'!H144</f>
        <v>1</v>
      </c>
      <c r="O40" s="203">
        <f>'Fixed inputs'!H145</f>
        <v>1</v>
      </c>
      <c r="P40" s="203">
        <f>'Fixed inputs'!H146</f>
        <v>0</v>
      </c>
      <c r="Q40" s="203">
        <f>'Fixed inputs'!H147</f>
        <v>0</v>
      </c>
      <c r="R40" s="203">
        <f>'Fixed inputs'!H148</f>
        <v>0</v>
      </c>
      <c r="S40" s="203">
        <f>'Fixed inputs'!H149</f>
        <v>0</v>
      </c>
      <c r="T40" s="203">
        <f>'Fixed inputs'!H150</f>
        <v>0</v>
      </c>
      <c r="U40" s="203">
        <f>'Fixed inputs'!H151</f>
        <v>0</v>
      </c>
      <c r="V40" s="203">
        <f>'Fixed inputs'!H152</f>
        <v>0</v>
      </c>
      <c r="W40" s="203">
        <f>'Fixed inputs'!H153</f>
        <v>0</v>
      </c>
      <c r="X40" s="203">
        <f>'Fixed inputs'!H154</f>
        <v>0</v>
      </c>
      <c r="Y40" s="203">
        <f>'Fixed inputs'!H155</f>
        <v>0</v>
      </c>
      <c r="Z40" s="203">
        <f>'Fixed inputs'!H156</f>
        <v>0</v>
      </c>
      <c r="AA40" s="203">
        <f>'Fixed inputs'!H157</f>
        <v>0</v>
      </c>
      <c r="AB40" s="203">
        <f>'Fixed inputs'!H158</f>
        <v>0</v>
      </c>
      <c r="AC40" s="203">
        <f>'Fixed inputs'!H159</f>
        <v>0</v>
      </c>
      <c r="AD40" s="203">
        <f>'Fixed inputs'!H160</f>
        <v>0</v>
      </c>
      <c r="AE40" s="203">
        <f>'Fixed inputs'!H161</f>
        <v>1</v>
      </c>
      <c r="AF40" s="203">
        <f>'Fixed inputs'!H162</f>
        <v>1</v>
      </c>
      <c r="AG40" s="203">
        <f>'Fixed inputs'!H163</f>
        <v>1</v>
      </c>
      <c r="AH40" s="203">
        <f>'Fixed inputs'!H164</f>
        <v>1</v>
      </c>
      <c r="AI40" s="203">
        <f>'Fixed inputs'!H165</f>
        <v>1</v>
      </c>
      <c r="AJ40" s="203">
        <f>'Fixed inputs'!H166</f>
        <v>1</v>
      </c>
      <c r="AK40" s="203">
        <f>'Fixed inputs'!H167</f>
        <v>1</v>
      </c>
      <c r="AL40" s="203">
        <f>'Fixed inputs'!H168</f>
        <v>1</v>
      </c>
      <c r="AM40" s="203">
        <f>'Fixed inputs'!H169</f>
        <v>1</v>
      </c>
      <c r="AN40" s="203">
        <f>'Fixed inputs'!H170</f>
        <v>1</v>
      </c>
      <c r="AO40" s="203">
        <f>'Fixed inputs'!H171</f>
        <v>1</v>
      </c>
      <c r="AP40" s="203">
        <f>'Fixed inputs'!H172</f>
        <v>0</v>
      </c>
      <c r="AQ40" s="203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439</v>
      </c>
      <c r="H43" s="145">
        <f>SUMPRODUCT(J27:AQ27, J$40:AQ$40)</f>
        <v>15990066.410118494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439</v>
      </c>
      <c r="H44" s="130">
        <f>SUMPRODUCT(J28:AQ28, J$40:AQ$40)</f>
        <v>20287838.235991005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439</v>
      </c>
      <c r="H45" s="130">
        <f>SUMPRODUCT(J29:AQ29, J$40:AQ$40)</f>
        <v>4468438.4550613649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439</v>
      </c>
      <c r="H46" s="146">
        <f>SUMPRODUCT(J30:AQ30, J$40:AQ$40)</f>
        <v>9205236.5141686834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475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471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471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476</v>
      </c>
      <c r="G51" s="117" t="s">
        <v>471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477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0.73769336601452984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0.63886588613146311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4">
        <f>IF(H51, (H45 + H46) / (H37 + H38), 0)</f>
        <v>0.47464142518716523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446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1.0836256683746413E-2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0.15778165298971719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7.3720404135339423E-2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0.35539620568170782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5.5406417154141178E-2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0.28684011099615636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448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449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450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451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5">
        <f>'Fixed inputs'!J396</f>
        <v>1</v>
      </c>
      <c r="K38" s="205">
        <f>'Fixed inputs'!K396</f>
        <v>1</v>
      </c>
      <c r="L38" s="205">
        <f>'Fixed inputs'!L396</f>
        <v>1</v>
      </c>
      <c r="M38" s="205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3">
        <f>'Fixed inputs'!J397</f>
        <v>1</v>
      </c>
      <c r="K39" s="203">
        <f>'Fixed inputs'!K397</f>
        <v>1</v>
      </c>
      <c r="L39" s="203">
        <f>'Fixed inputs'!L397</f>
        <v>1</v>
      </c>
      <c r="M39" s="203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3">
        <f>'Fixed inputs'!J398</f>
        <v>1</v>
      </c>
      <c r="K40" s="203">
        <f>'Fixed inputs'!K398</f>
        <v>1</v>
      </c>
      <c r="L40" s="203">
        <f>'Fixed inputs'!L398</f>
        <v>1</v>
      </c>
      <c r="M40" s="203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3">
        <f>'Fixed inputs'!J399</f>
        <v>1</v>
      </c>
      <c r="K41" s="203">
        <f>'Fixed inputs'!K399</f>
        <v>1</v>
      </c>
      <c r="L41" s="203">
        <f>'Fixed inputs'!L399</f>
        <v>1</v>
      </c>
      <c r="M41" s="203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3">
        <f>'Fixed inputs'!J400</f>
        <v>1</v>
      </c>
      <c r="K42" s="203">
        <f>'Fixed inputs'!K400</f>
        <v>1</v>
      </c>
      <c r="L42" s="203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3">
        <f>'Fixed inputs'!J401</f>
        <v>1</v>
      </c>
      <c r="K43" s="203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6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0.93998104764080836</v>
      </c>
      <c r="K46" s="177">
        <f>SUMPRODUCT($H19:$H25, K38:K44)</f>
        <v>0.653140936644652</v>
      </c>
      <c r="L46" s="177">
        <f>SUMPRODUCT($H19:$H25, L38:L44)</f>
        <v>0.59773451949051082</v>
      </c>
      <c r="M46" s="177">
        <f>SUMPRODUCT($H19:$H25, M38:M44)</f>
        <v>0.24233831380880302</v>
      </c>
      <c r="N46" s="74"/>
      <c r="O46" s="115" t="s">
        <v>566</v>
      </c>
      <c r="P46" s="42"/>
    </row>
    <row r="47" spans="1:16" x14ac:dyDescent="0.25">
      <c r="A47" s="73"/>
      <c r="B47" s="73"/>
      <c r="C47" s="73"/>
      <c r="D47" s="73"/>
      <c r="E47" s="115" t="s">
        <v>533</v>
      </c>
      <c r="F47" s="73"/>
      <c r="G47" s="115" t="s">
        <v>471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499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452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453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0.93998104764080836</v>
      </c>
      <c r="K56" s="180">
        <f>SUMPRODUCT($H19:$H$25, K38:K$44)</f>
        <v>0.653140936644652</v>
      </c>
      <c r="L56" s="180">
        <f>SUMPRODUCT($H19:$H$25, L38:L$44)</f>
        <v>0.59773451949051082</v>
      </c>
      <c r="M56" s="180">
        <f>SUMPRODUCT($H19:$H$25, M38:M$44)</f>
        <v>0.24233831380880302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0.93998104764080836</v>
      </c>
      <c r="K57" s="177">
        <f>SUMPRODUCT($H20:$H$25, K39:K$44)</f>
        <v>0.653140936644652</v>
      </c>
      <c r="L57" s="177">
        <f>SUMPRODUCT($H20:$H$25, L39:L$44)</f>
        <v>0.59773451949051082</v>
      </c>
      <c r="M57" s="177">
        <f>SUMPRODUCT($H20:$H$25, M39:M$44)</f>
        <v>0.24233831380880302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0.92914479095706204</v>
      </c>
      <c r="K58" s="177">
        <f>SUMPRODUCT($H21:$H$25, K40:K$44)</f>
        <v>0.64230467996090568</v>
      </c>
      <c r="L58" s="177">
        <f>SUMPRODUCT($H21:$H$25, L40:L$44)</f>
        <v>0.58689826280676449</v>
      </c>
      <c r="M58" s="177">
        <f>SUMPRODUCT($H21:$H$25, M40:M$44)</f>
        <v>0.23150205712505662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0.77136313796734479</v>
      </c>
      <c r="K59" s="177">
        <f>SUMPRODUCT($H22:$H$25, K41:K$44)</f>
        <v>0.48452302697118843</v>
      </c>
      <c r="L59" s="177">
        <f>SUMPRODUCT($H22:$H$25, L41:L$44)</f>
        <v>0.42911660981704725</v>
      </c>
      <c r="M59" s="177">
        <f>SUMPRODUCT($H22:$H$25, M41:M$44)</f>
        <v>7.3720404135339423E-2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0.69764273383200537</v>
      </c>
      <c r="K60" s="193">
        <f>SUMPRODUCT($H23:$H$25, K42:K$44)</f>
        <v>0.41080262283584901</v>
      </c>
      <c r="L60" s="193">
        <f>SUMPRODUCT($H23:$H$25, L42:L$44)</f>
        <v>0.35539620568170782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523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524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0.73769336601452984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522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0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4.1387174300396214E-2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7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414</v>
      </c>
      <c r="F83" s="73"/>
      <c r="G83" s="115" t="str">
        <f>'Rev allocation'!G149</f>
        <v>%</v>
      </c>
      <c r="H83" s="166">
        <f>'Rev allocation'!H158</f>
        <v>6.0018952359191753E-2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535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0.93998104764080814</v>
      </c>
      <c r="K94" s="180">
        <f t="shared" si="0"/>
        <v>0.915840818749597</v>
      </c>
      <c r="L94" s="180">
        <f t="shared" si="0"/>
        <v>0.9087515993029891</v>
      </c>
      <c r="M94" s="180">
        <f t="shared" si="0"/>
        <v>0.80149657681504427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0.93998104764080814</v>
      </c>
      <c r="K95" s="177">
        <f t="shared" si="0"/>
        <v>0.915840818749597</v>
      </c>
      <c r="L95" s="177">
        <f t="shared" si="0"/>
        <v>0.9087515993029891</v>
      </c>
      <c r="M95" s="177">
        <f t="shared" si="0"/>
        <v>0.80149657681504427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0.92914479095706182</v>
      </c>
      <c r="K96" s="177">
        <f t="shared" si="0"/>
        <v>0.90064611017045548</v>
      </c>
      <c r="L96" s="177">
        <f t="shared" si="0"/>
        <v>0.8922769516614143</v>
      </c>
      <c r="M96" s="177">
        <f t="shared" si="0"/>
        <v>0.76565733001577729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0.81275031226774075</v>
      </c>
      <c r="K97" s="177">
        <f t="shared" si="0"/>
        <v>0.73743659644990223</v>
      </c>
      <c r="L97" s="177">
        <f t="shared" si="0"/>
        <v>0.71531934722338364</v>
      </c>
      <c r="M97" s="177">
        <f t="shared" si="0"/>
        <v>0.38070055300665379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0.69764273383200526</v>
      </c>
      <c r="K98" s="193">
        <f t="shared" si="0"/>
        <v>0.57603158726392545</v>
      </c>
      <c r="L98" s="193">
        <f t="shared" si="0"/>
        <v>0.54031825127776179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0.93998104764080814</v>
      </c>
      <c r="K105" s="153">
        <f t="shared" si="1"/>
        <v>0.915840818749597</v>
      </c>
      <c r="L105" s="153">
        <f t="shared" si="1"/>
        <v>0.9087515993029891</v>
      </c>
      <c r="M105" s="153">
        <f t="shared" si="1"/>
        <v>0.80149657681504427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0.93998104764080814</v>
      </c>
      <c r="K106" s="154">
        <f t="shared" si="1"/>
        <v>0.915840818749597</v>
      </c>
      <c r="L106" s="154">
        <f t="shared" si="1"/>
        <v>0.9087515993029891</v>
      </c>
      <c r="M106" s="154">
        <f t="shared" si="1"/>
        <v>0.80149657681504427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0.92914479095706182</v>
      </c>
      <c r="K107" s="154">
        <f t="shared" si="1"/>
        <v>0.90064611017045548</v>
      </c>
      <c r="L107" s="154">
        <f t="shared" si="1"/>
        <v>0.8922769516614143</v>
      </c>
      <c r="M107" s="154">
        <f t="shared" si="1"/>
        <v>0.76565733001577729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0.81275031226774075</v>
      </c>
      <c r="K108" s="154">
        <f t="shared" si="1"/>
        <v>0.73743659644990223</v>
      </c>
      <c r="L108" s="154">
        <f t="shared" si="1"/>
        <v>0.71531934722338364</v>
      </c>
      <c r="M108" s="154">
        <f t="shared" si="1"/>
        <v>0.38070055300665379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0.69764273383200526</v>
      </c>
      <c r="K109" s="192">
        <f t="shared" si="1"/>
        <v>0.57603158726392545</v>
      </c>
      <c r="L109" s="192">
        <f t="shared" si="1"/>
        <v>0.54031825127776179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8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8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1" t="str">
        <f>'Rev allocation'!J5</f>
        <v>LV services</v>
      </c>
      <c r="G18" s="113" t="str">
        <f>'Rev allocation'!G146</f>
        <v>%</v>
      </c>
      <c r="H18" s="172">
        <f>'Rev allocation'!J146</f>
        <v>8.4804374763447529E-2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0.22457089166487917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5.931299324076264E-2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0.38849456683971584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494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8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8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0.70746430741726707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0.14427477476501119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8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0.63886588613146311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0.47464142518716523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8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8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4">
        <f>H18 + (H19 * ( 1 - H28 * H31))</f>
        <v>0.293996924685196</v>
      </c>
      <c r="I36" s="132" t="s">
        <v>314</v>
      </c>
      <c r="J36" s="115" t="s">
        <v>588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0.58159306782873765</v>
      </c>
      <c r="I37" s="132" t="s">
        <v>314</v>
      </c>
      <c r="J37" s="115" t="s">
        <v>589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9">
        <f>(H20 + H21 * (1 - H27 * H30)) / (1 - H19 - H18)</f>
        <v>0.39416167444886341</v>
      </c>
      <c r="I38" s="132" t="s">
        <v>314</v>
      </c>
      <c r="J38" s="115" t="s">
        <v>590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0.33724195917543259</v>
      </c>
      <c r="I39" s="132" t="s">
        <v>314</v>
      </c>
      <c r="J39" s="115" t="s">
        <v>591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:H58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413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0.293996924685196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0.58159306782873765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0.39416167444886341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0.33724195917543259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545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0.93998104764080814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546</v>
      </c>
      <c r="G32" s="115" t="s">
        <v>44</v>
      </c>
      <c r="H32" s="116">
        <f>'EDCM discounts'!K105</f>
        <v>0.915840818749597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547</v>
      </c>
      <c r="G33" s="115" t="s">
        <v>44</v>
      </c>
      <c r="H33" s="116">
        <f>'EDCM discounts'!L105</f>
        <v>0.9087515993029891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0.80149657681504427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548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2">
        <f>'EDCM discounts'!J106</f>
        <v>0.93998104764080814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546</v>
      </c>
      <c r="G38" s="115" t="s">
        <v>44</v>
      </c>
      <c r="H38" s="116">
        <f>'EDCM discounts'!K106</f>
        <v>0.915840818749597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547</v>
      </c>
      <c r="G39" s="115" t="s">
        <v>44</v>
      </c>
      <c r="H39" s="116">
        <f>'EDCM discounts'!L106</f>
        <v>0.9087515993029891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0.80149657681504427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549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2">
        <f>'EDCM discounts'!J107</f>
        <v>0.92914479095706182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546</v>
      </c>
      <c r="G44" s="115" t="s">
        <v>44</v>
      </c>
      <c r="H44" s="116">
        <f>'EDCM discounts'!K107</f>
        <v>0.90064611017045548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547</v>
      </c>
      <c r="G45" s="115" t="s">
        <v>44</v>
      </c>
      <c r="H45" s="116">
        <f>'EDCM discounts'!L107</f>
        <v>0.8922769516614143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0.76565733001577729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550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0.81275031226774075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546</v>
      </c>
      <c r="G50" s="115" t="s">
        <v>44</v>
      </c>
      <c r="H50" s="116">
        <f>'EDCM discounts'!K108</f>
        <v>0.73743659644990223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547</v>
      </c>
      <c r="G51" s="115" t="s">
        <v>44</v>
      </c>
      <c r="H51" s="116">
        <f>'EDCM discounts'!L108</f>
        <v>0.71531934722338364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0.38070055300665379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551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0.69764273383200526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546</v>
      </c>
      <c r="G56" s="115" t="s">
        <v>44</v>
      </c>
      <c r="H56" s="116">
        <f>'EDCM discounts'!K109</f>
        <v>0.57603158726392545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547</v>
      </c>
      <c r="G57" s="115" t="s">
        <v>44</v>
      </c>
      <c r="H57" s="116">
        <f>'EDCM discounts'!L109</f>
        <v>0.54031825127776179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SHEPD - Final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43389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486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755</v>
      </c>
      <c r="G11" s="42"/>
      <c r="H11" s="80">
        <f>LOOKUP(2,1/(H20:H29&lt;&gt;""),H20:H29)</f>
        <v>3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01 April 2020 DCUSA Charging Methodologies Pre-Release (released 09/10/2018)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757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431</v>
      </c>
      <c r="J20" s="18" t="s">
        <v>728</v>
      </c>
      <c r="K20" s="18" t="s">
        <v>565</v>
      </c>
      <c r="L20" s="18" t="s">
        <v>514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3" t="s">
        <v>727</v>
      </c>
      <c r="H22" s="22">
        <v>3</v>
      </c>
      <c r="I22" s="223" t="s">
        <v>746</v>
      </c>
      <c r="J22" s="223" t="s">
        <v>728</v>
      </c>
      <c r="K22" s="223" t="s">
        <v>565</v>
      </c>
      <c r="L22" s="223" t="s">
        <v>759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754</v>
      </c>
      <c r="H23" s="22">
        <v>3</v>
      </c>
      <c r="I23" s="223" t="s">
        <v>756</v>
      </c>
      <c r="J23" s="223" t="s">
        <v>728</v>
      </c>
      <c r="K23" s="223" t="s">
        <v>565</v>
      </c>
      <c r="L23" s="223" t="s">
        <v>758</v>
      </c>
      <c r="M23" s="42"/>
    </row>
    <row r="24" spans="1:13" x14ac:dyDescent="0.25">
      <c r="A24" s="75"/>
      <c r="B24" s="75"/>
      <c r="C24" s="75"/>
      <c r="D24" s="75"/>
      <c r="E24" s="75"/>
      <c r="F24" s="18"/>
      <c r="G24" s="18"/>
      <c r="H24" s="22"/>
      <c r="I24" s="18"/>
      <c r="J24" s="18"/>
      <c r="K24" s="18"/>
      <c r="L24" s="18"/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MEAV!H145</f>
        <v>1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Expensed!H86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1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6" t="s">
        <v>754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disablePrompts="1"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SHEPD - Final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SHEPD - Final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675</v>
      </c>
    </row>
    <row r="8" spans="1:8" x14ac:dyDescent="0.25">
      <c r="C8" s="5" t="s">
        <v>676</v>
      </c>
    </row>
    <row r="10" spans="1:8" x14ac:dyDescent="0.25">
      <c r="B10" s="2" t="s">
        <v>668</v>
      </c>
      <c r="C10" s="2"/>
      <c r="D10" s="2"/>
      <c r="E10" s="2"/>
      <c r="F10" s="2"/>
      <c r="G10" s="2"/>
    </row>
    <row r="12" spans="1:8" x14ac:dyDescent="0.25">
      <c r="C12" s="5" t="s">
        <v>485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484</v>
      </c>
      <c r="G17" s="7" t="str">
        <f>'Version control'!$B$17</f>
        <v>Version log</v>
      </c>
    </row>
    <row r="18" spans="6:7" x14ac:dyDescent="0.25">
      <c r="F18" s="9" t="s">
        <v>484</v>
      </c>
      <c r="G18" s="7" t="str">
        <f>'Version control'!$B$31</f>
        <v>Model checks</v>
      </c>
    </row>
    <row r="19" spans="6:7" ht="15.75" thickBot="1" x14ac:dyDescent="0.3">
      <c r="F19" s="9" t="s">
        <v>484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484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484</v>
      </c>
      <c r="G24" s="7" t="str">
        <f>'DNO inputs'!$B$28</f>
        <v>Inputs from other charging models</v>
      </c>
    </row>
    <row r="25" spans="6:7" ht="15.75" thickBot="1" x14ac:dyDescent="0.3">
      <c r="F25" s="16" t="s">
        <v>484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484</v>
      </c>
      <c r="G27" s="7" t="str">
        <f>MEAV!$B$97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484</v>
      </c>
      <c r="G29" s="7" t="str">
        <f>Expenditure!$B$53</f>
        <v>Expenditure allocated based on MEAV</v>
      </c>
    </row>
    <row r="30" spans="6:7" x14ac:dyDescent="0.25">
      <c r="F30" s="13" t="s">
        <v>484</v>
      </c>
      <c r="G30" s="7" t="str">
        <f>Expenditure!$B$103</f>
        <v>Allocation to LV Services</v>
      </c>
    </row>
    <row r="31" spans="6:7" ht="15.75" thickBot="1" x14ac:dyDescent="0.3">
      <c r="F31" s="13" t="s">
        <v>484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484</v>
      </c>
      <c r="G35" s="7" t="str">
        <f>'Rev allocation'!$B$51</f>
        <v>Revenue by network level</v>
      </c>
    </row>
    <row r="36" spans="2:7" x14ac:dyDescent="0.25">
      <c r="F36" s="13" t="s">
        <v>484</v>
      </c>
      <c r="G36" s="7" t="str">
        <f>'Rev allocation'!$B$86</f>
        <v>Units flowing</v>
      </c>
    </row>
    <row r="37" spans="2:7" ht="15.75" thickBot="1" x14ac:dyDescent="0.3">
      <c r="F37" s="13" t="s">
        <v>484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484</v>
      </c>
      <c r="G40" s="7" t="str">
        <f>'EDCM discounts'!$B$27</f>
        <v>EDCM user discount components</v>
      </c>
    </row>
    <row r="41" spans="2:7" ht="15.75" thickBot="1" x14ac:dyDescent="0.3">
      <c r="F41" s="13" t="s">
        <v>484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513</v>
      </c>
      <c r="G43" s="7" t="str">
        <f>'Output to other models'!$B$11</f>
        <v>DCUSA text outputs</v>
      </c>
    </row>
    <row r="45" spans="2:7" x14ac:dyDescent="0.25">
      <c r="B45" s="2" t="s">
        <v>669</v>
      </c>
      <c r="C45" s="2"/>
      <c r="D45" s="2"/>
      <c r="E45" s="2"/>
      <c r="F45" s="2"/>
      <c r="G45" s="2"/>
    </row>
    <row r="47" spans="2:7" x14ac:dyDescent="0.25">
      <c r="C47" s="5" t="s">
        <v>677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484</v>
      </c>
      <c r="G51" s="7" t="str">
        <f>'Fixed inputs'!$C$23</f>
        <v>Input 401-B: EDCM discount cap</v>
      </c>
    </row>
    <row r="52" spans="6:7" x14ac:dyDescent="0.25">
      <c r="F52" s="16" t="s">
        <v>484</v>
      </c>
      <c r="G52" s="7" t="str">
        <f>'Fixed inputs'!$C$29</f>
        <v>Input 401-C: Network length splits for EDCM</v>
      </c>
    </row>
    <row r="53" spans="6:7" x14ac:dyDescent="0.25">
      <c r="F53" s="16" t="s">
        <v>484</v>
      </c>
      <c r="G53" s="7" t="str">
        <f>'Fixed inputs'!$C$37</f>
        <v>Input 401-D: Allocation rules allocation key</v>
      </c>
    </row>
    <row r="54" spans="6:7" x14ac:dyDescent="0.25">
      <c r="F54" s="16" t="s">
        <v>484</v>
      </c>
      <c r="G54" s="7" t="str">
        <f>'Fixed inputs'!$C$89</f>
        <v>Input 401-E: Allocation rules percentage capitalised</v>
      </c>
    </row>
    <row r="55" spans="6:7" x14ac:dyDescent="0.25">
      <c r="F55" s="16" t="s">
        <v>484</v>
      </c>
      <c r="G55" s="7" t="str">
        <f>'Fixed inputs'!$C$130</f>
        <v>Input 401-F: Allocation rules direct cost indicator</v>
      </c>
    </row>
    <row r="56" spans="6:7" x14ac:dyDescent="0.25">
      <c r="F56" s="16" t="s">
        <v>484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484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484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484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484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484</v>
      </c>
      <c r="G62" s="7" t="str">
        <f>'DNO inputs'!$C$21</f>
        <v>Input 402-B: HV split</v>
      </c>
    </row>
    <row r="63" spans="6:7" x14ac:dyDescent="0.25">
      <c r="F63" s="16" t="s">
        <v>484</v>
      </c>
      <c r="G63" s="7" t="str">
        <f>'DNO inputs'!$C$32</f>
        <v>Input 402-C: CDCM notional asset values</v>
      </c>
    </row>
    <row r="64" spans="6:7" x14ac:dyDescent="0.25">
      <c r="F64" s="16" t="s">
        <v>484</v>
      </c>
      <c r="G64" s="7" t="str">
        <f>'DNO inputs'!$C$44</f>
        <v>Input 402-D: EDCM notional asset value</v>
      </c>
    </row>
    <row r="65" spans="6:7" x14ac:dyDescent="0.25">
      <c r="F65" s="16" t="s">
        <v>484</v>
      </c>
      <c r="G65" s="7" t="str">
        <f>'DNO inputs'!$C$55</f>
        <v>Input 402-E: MEAV asset count</v>
      </c>
    </row>
    <row r="66" spans="6:7" x14ac:dyDescent="0.25">
      <c r="F66" s="16" t="s">
        <v>484</v>
      </c>
      <c r="G66" s="7" t="str">
        <f>'DNO inputs'!$C$147</f>
        <v>Input 402-F: MEAV per unit</v>
      </c>
    </row>
    <row r="67" spans="6:7" x14ac:dyDescent="0.25">
      <c r="F67" s="16" t="s">
        <v>484</v>
      </c>
      <c r="G67" s="7" t="str">
        <f>'DNO inputs'!$C$238</f>
        <v>Input 402-G: 2007/08 RRP expenditure, by cost category</v>
      </c>
    </row>
    <row r="68" spans="6:7" x14ac:dyDescent="0.25">
      <c r="F68" s="16" t="s">
        <v>484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484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484</v>
      </c>
      <c r="G70" s="7" t="str">
        <f>'DNO inputs'!$C$331</f>
        <v>Input 402-J: Net capex (2005/06 to 2014/15)</v>
      </c>
    </row>
    <row r="71" spans="6:7" x14ac:dyDescent="0.25">
      <c r="F71" s="16" t="s">
        <v>484</v>
      </c>
      <c r="G71" s="7" t="str">
        <f>'DNO inputs'!$C$343</f>
        <v>Input 402-K: LV services share of LV net capex</v>
      </c>
    </row>
    <row r="72" spans="6:7" x14ac:dyDescent="0.25">
      <c r="F72" s="16" t="s">
        <v>484</v>
      </c>
      <c r="G72" s="7" t="str">
        <f>'DNO inputs'!$C$350</f>
        <v>Input 402-L: Price control allowed revenue</v>
      </c>
    </row>
    <row r="73" spans="6:7" x14ac:dyDescent="0.25">
      <c r="F73" s="16" t="s">
        <v>484</v>
      </c>
      <c r="G73" s="7" t="str">
        <f>'DNO inputs'!$C$359</f>
        <v>Input 402-M: 2007/08 total allowed revenue</v>
      </c>
    </row>
    <row r="74" spans="6:7" x14ac:dyDescent="0.25">
      <c r="F74" s="16" t="s">
        <v>484</v>
      </c>
      <c r="G74" s="7" t="str">
        <f>'DNO inputs'!$C$365</f>
        <v>Input 402-N: 2007/08 net incentive revenue</v>
      </c>
    </row>
    <row r="75" spans="6:7" x14ac:dyDescent="0.25">
      <c r="F75" s="16" t="s">
        <v>484</v>
      </c>
      <c r="G75" s="7" t="str">
        <f>'DNO inputs'!$C$371</f>
        <v>Input 402-O: Additional DNO revenue</v>
      </c>
    </row>
    <row r="76" spans="6:7" x14ac:dyDescent="0.25">
      <c r="F76" s="16" t="s">
        <v>484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484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484</v>
      </c>
      <c r="G79" s="7" t="str">
        <f>MEAV!$C$27</f>
        <v>Section 401-B: Mapping of asset types to network levels</v>
      </c>
    </row>
    <row r="80" spans="6:7" x14ac:dyDescent="0.25">
      <c r="F80" s="13" t="s">
        <v>484</v>
      </c>
      <c r="G80" s="7" t="str">
        <f>MEAV!$C$49</f>
        <v>Section 401-C: MEAV shares, by asset type and network level</v>
      </c>
    </row>
    <row r="81" spans="6:7" x14ac:dyDescent="0.25">
      <c r="F81" s="13" t="s">
        <v>484</v>
      </c>
      <c r="G81" s="7" t="str">
        <f>MEAV!$C$78</f>
        <v>Section 401-D: MEAV shares from extended mapping, by asset type and network level</v>
      </c>
    </row>
    <row r="82" spans="6:7" x14ac:dyDescent="0.25">
      <c r="F82" s="13" t="s">
        <v>484</v>
      </c>
      <c r="G82" s="7" t="str">
        <f>MEAV!$C$101</f>
        <v>Section 401-E: EHV reduction ratio</v>
      </c>
    </row>
    <row r="83" spans="6:7" ht="15.75" thickBot="1" x14ac:dyDescent="0.3">
      <c r="F83" s="13" t="s">
        <v>484</v>
      </c>
      <c r="G83" s="7" t="str">
        <f>MEAV!$C$120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484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484</v>
      </c>
      <c r="G86" s="7" t="str">
        <f>Expenditure!$C$58</f>
        <v>Section 402-C: Expenditure for allocation based on MEAV</v>
      </c>
    </row>
    <row r="87" spans="6:7" x14ac:dyDescent="0.25">
      <c r="F87" s="13" t="s">
        <v>484</v>
      </c>
      <c r="G87" s="7" t="str">
        <f>Expenditure!$C$71</f>
        <v>Section 402-D: MEAV allocation shares</v>
      </c>
    </row>
    <row r="88" spans="6:7" x14ac:dyDescent="0.25">
      <c r="F88" s="13" t="s">
        <v>484</v>
      </c>
      <c r="G88" s="7" t="str">
        <f>Expenditure!$C$87</f>
        <v>Section 402-E: Expenditure allocated based on MEAV</v>
      </c>
    </row>
    <row r="89" spans="6:7" x14ac:dyDescent="0.25">
      <c r="F89" s="13" t="s">
        <v>484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484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484</v>
      </c>
      <c r="G92" s="7" t="str">
        <f>Expensed!$C$34</f>
        <v>Section 403-B: Share expensed</v>
      </c>
    </row>
    <row r="93" spans="6:7" x14ac:dyDescent="0.25">
      <c r="F93" s="13" t="s">
        <v>484</v>
      </c>
      <c r="G93" s="7" t="str">
        <f>Expensed!$C$40</f>
        <v>Section 403-C: Value expensed</v>
      </c>
    </row>
    <row r="94" spans="6:7" ht="15.75" thickBot="1" x14ac:dyDescent="0.3">
      <c r="F94" s="13" t="s">
        <v>484</v>
      </c>
      <c r="G94" s="7" t="str">
        <f>Expensed!$C$64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484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484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484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484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484</v>
      </c>
      <c r="G101" s="7" t="str">
        <f>'Rev allocation'!$C$56</f>
        <v>Section 405-D: Revenue to share</v>
      </c>
    </row>
    <row r="102" spans="6:7" x14ac:dyDescent="0.25">
      <c r="F102" s="13" t="s">
        <v>484</v>
      </c>
      <c r="G102" s="7" t="str">
        <f>'Rev allocation'!$C$72</f>
        <v>Section 405-E: Additional DNO revenue shares</v>
      </c>
    </row>
    <row r="103" spans="6:7" x14ac:dyDescent="0.25">
      <c r="F103" s="13" t="s">
        <v>484</v>
      </c>
      <c r="G103" s="7" t="str">
        <f>'Rev allocation'!$C$80</f>
        <v>Section 405-F: Revenue allocation</v>
      </c>
    </row>
    <row r="104" spans="6:7" x14ac:dyDescent="0.25">
      <c r="F104" s="13" t="s">
        <v>484</v>
      </c>
      <c r="G104" s="7" t="str">
        <f>'Rev allocation'!$C$90</f>
        <v>Section 405-G: Revenue allocation</v>
      </c>
    </row>
    <row r="105" spans="6:7" x14ac:dyDescent="0.25">
      <c r="F105" s="13" t="s">
        <v>484</v>
      </c>
      <c r="G105" s="7" t="str">
        <f>'Rev allocation'!$C$126</f>
        <v>Section 405-H: Revenue per unit</v>
      </c>
    </row>
    <row r="106" spans="6:7" x14ac:dyDescent="0.25">
      <c r="F106" s="13" t="s">
        <v>484</v>
      </c>
      <c r="G106" s="7" t="str">
        <f>'Rev allocation'!$C$142</f>
        <v>Section 405-I: Shares of revenue per unit</v>
      </c>
    </row>
    <row r="107" spans="6:7" x14ac:dyDescent="0.25">
      <c r="F107" s="13" t="s">
        <v>484</v>
      </c>
      <c r="G107" s="7" t="str">
        <f>'Rev allocation'!$C$156</f>
        <v>Section 405-J: U</v>
      </c>
    </row>
    <row r="108" spans="6:7" ht="15.75" thickBot="1" x14ac:dyDescent="0.3">
      <c r="F108" s="13" t="s">
        <v>484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484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484</v>
      </c>
      <c r="G112" s="7" t="str">
        <f>'EDCM discounts'!$C$32</f>
        <v>Section 407-B: S</v>
      </c>
    </row>
    <row r="113" spans="2:7" x14ac:dyDescent="0.25">
      <c r="F113" s="13" t="s">
        <v>484</v>
      </c>
      <c r="G113" s="7" t="str">
        <f>'EDCM discounts'!$C$50</f>
        <v>Section 407-C: P</v>
      </c>
    </row>
    <row r="114" spans="2:7" x14ac:dyDescent="0.25">
      <c r="F114" s="13" t="s">
        <v>484</v>
      </c>
      <c r="G114" s="7" t="str">
        <f>'EDCM discounts'!$C$62</f>
        <v>Section 407-D: P adder</v>
      </c>
    </row>
    <row r="115" spans="2:7" x14ac:dyDescent="0.25">
      <c r="F115" s="13" t="s">
        <v>484</v>
      </c>
      <c r="G115" s="7" t="str">
        <f>'EDCM discounts'!$C$79</f>
        <v>Section 407-E: U</v>
      </c>
    </row>
    <row r="116" spans="2:7" x14ac:dyDescent="0.25">
      <c r="F116" s="13" t="s">
        <v>484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484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484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484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513</v>
      </c>
      <c r="G121" s="7" t="str">
        <f>'Output to other models'!$C$15</f>
        <v>Output 401-A: PCDM user discount for CDCM</v>
      </c>
    </row>
    <row r="122" spans="2:7" x14ac:dyDescent="0.25">
      <c r="F122" s="11" t="s">
        <v>484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7" display="'MEAV'!$B$97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78" display="'MEAV'!$C$78"/>
    <hyperlink ref="F82" location="'MEAV'!A4" display="'"/>
    <hyperlink ref="G82" location="'MEAV'!$C$101" display="'MEAV'!$C$101"/>
    <hyperlink ref="F83" location="'MEAV'!A4" display="'"/>
    <hyperlink ref="G83" location="'MEAV'!$C$120" display="'MEAV'!$C$120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4" display="'Expensed'!$C$64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432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487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559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557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558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534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556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496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7" t="s">
        <v>184</v>
      </c>
      <c r="G46" s="217" t="s">
        <v>354</v>
      </c>
      <c r="H46" s="219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8" t="s">
        <v>195</v>
      </c>
      <c r="G47" s="117" t="s">
        <v>354</v>
      </c>
      <c r="H47" s="220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7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417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7" t="s">
        <v>742</v>
      </c>
      <c r="G86" s="217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752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8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752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560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561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417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742</v>
      </c>
      <c r="G127" s="217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741</v>
      </c>
      <c r="G128" s="218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562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417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742</v>
      </c>
      <c r="G172" s="217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752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741</v>
      </c>
      <c r="G173" s="218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752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563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514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514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514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514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514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514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514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514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514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514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514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514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514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514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514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514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514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514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514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514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514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514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514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514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514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514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514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514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514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514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514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514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514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514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514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514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514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514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514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564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521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37" activePane="bottomRight" state="frozenSplit"/>
      <selection pane="topRight" activeCell="J1" sqref="J1"/>
      <selection pane="bottomLeft" activeCell="A261" sqref="A261"/>
      <selection pane="bottomRight" activeCell="K40" sqref="K40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537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0.14427477476501119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462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463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0.70746430741726707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433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437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418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440</v>
      </c>
      <c r="H38" s="36">
        <v>0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440</v>
      </c>
      <c r="H39" s="37">
        <v>0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440</v>
      </c>
      <c r="H40" s="37">
        <v>190000205.79569644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440</v>
      </c>
      <c r="H41" s="37">
        <v>201206670.19670227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440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420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440</v>
      </c>
      <c r="H49" s="37">
        <v>190810277.31896904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434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3991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32472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101753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4609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4848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703157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0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6876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5393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48027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21400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64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429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231715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4699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147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1576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2817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0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2969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5888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14310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44432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7211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5220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135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47448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1227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853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84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10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303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446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254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3914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1544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558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152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0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0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0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0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0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0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0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0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0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0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0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410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1525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40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438</v>
      </c>
      <c r="H152" s="36">
        <v>23029.912068579626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438</v>
      </c>
      <c r="H153" s="37">
        <v>650.06022957164737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438</v>
      </c>
      <c r="H154" s="37">
        <v>2248.4075897296416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438</v>
      </c>
      <c r="H155" s="37">
        <v>146011.93283150168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438</v>
      </c>
      <c r="H156" s="37">
        <v>146011.93283150168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438</v>
      </c>
      <c r="H157" s="37">
        <v>146011.93283150168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438</v>
      </c>
      <c r="H158" s="37">
        <v>1957.5855555837088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438</v>
      </c>
      <c r="H159" s="37">
        <v>0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438</v>
      </c>
      <c r="H160" s="37">
        <v>12555.841679751265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438</v>
      </c>
      <c r="H161" s="37">
        <v>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438</v>
      </c>
      <c r="H162" s="37">
        <v>6977.6505796519114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438</v>
      </c>
      <c r="H163" s="37">
        <v>56.793168904399039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438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438</v>
      </c>
      <c r="H165" s="37">
        <v>32247.695066761382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438</v>
      </c>
      <c r="H166" s="37">
        <v>50748.707144555665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429</v>
      </c>
      <c r="G167" s="115" t="s">
        <v>438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438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438</v>
      </c>
      <c r="H169" s="37">
        <v>3215.5023768654742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438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438</v>
      </c>
      <c r="H171" s="37">
        <v>165614.13286979846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438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438</v>
      </c>
      <c r="H173" s="37">
        <v>501783.66532963811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438</v>
      </c>
      <c r="H174" s="37">
        <v>13554.593348611237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438</v>
      </c>
      <c r="H175" s="37">
        <v>47538.954063866091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438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438</v>
      </c>
      <c r="H177" s="37">
        <v>10717.229747674397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438</v>
      </c>
      <c r="H178" s="37">
        <v>20021.44550693046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438</v>
      </c>
      <c r="H179" s="37">
        <v>2197.6184712342565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438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438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438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438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438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438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438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438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438</v>
      </c>
      <c r="H188" s="37">
        <v>5526.9884188248416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438</v>
      </c>
      <c r="H189" s="37">
        <v>18916.732152441484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438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438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438</v>
      </c>
      <c r="H192" s="37">
        <v>39330.562447552998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438</v>
      </c>
      <c r="H193" s="37">
        <v>56358.19689393109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438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438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438</v>
      </c>
      <c r="H196" s="37">
        <v>3285.664023312474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438</v>
      </c>
      <c r="H197" s="37">
        <v>56566.954456655061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438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438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438</v>
      </c>
      <c r="H200" s="37">
        <v>345750.78503524652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438</v>
      </c>
      <c r="H201" s="37">
        <v>345750.78503524652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438</v>
      </c>
      <c r="H202" s="37">
        <v>345750.78503524652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438</v>
      </c>
      <c r="H203" s="37">
        <v>699525.18212933722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438</v>
      </c>
      <c r="H204" s="37">
        <v>699525.18212933722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438</v>
      </c>
      <c r="H205" s="37">
        <v>699525.18212933722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438</v>
      </c>
      <c r="H206" s="37">
        <v>623506.54097092676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438</v>
      </c>
      <c r="H207" s="37">
        <v>90631.472643105371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438</v>
      </c>
      <c r="H208" s="37">
        <v>98964.468062865169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438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438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438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438</v>
      </c>
      <c r="H212" s="37">
        <v>8904.3129672194373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438</v>
      </c>
      <c r="H213" s="37">
        <v>445829.96395924932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438</v>
      </c>
      <c r="H214" s="37">
        <v>9705.3419297718847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438</v>
      </c>
      <c r="H215" s="37">
        <v>3734.4442311958201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438</v>
      </c>
      <c r="H216" s="37">
        <v>435557.36414622108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438</v>
      </c>
      <c r="H217" s="37">
        <v>17840.423999999999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438</v>
      </c>
      <c r="H218" s="37">
        <v>669468.58082220238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438</v>
      </c>
      <c r="H219" s="37">
        <v>17840.423999999999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438</v>
      </c>
      <c r="H220" s="37">
        <v>69684.391568552339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438</v>
      </c>
      <c r="H221" s="37">
        <v>64631.473252930649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438</v>
      </c>
      <c r="H222" s="37">
        <v>6114.4935624679147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438</v>
      </c>
      <c r="H223" s="37">
        <v>122553.34307696488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438</v>
      </c>
      <c r="H224" s="37">
        <v>3164.7526909485059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438</v>
      </c>
      <c r="H225" s="37">
        <v>1193635.1116307019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438</v>
      </c>
      <c r="H226" s="37">
        <v>1193635.1116307019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438</v>
      </c>
      <c r="H227" s="37">
        <v>1193635.1116307019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438</v>
      </c>
      <c r="H228" s="37">
        <v>1050116.2795299818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438</v>
      </c>
      <c r="H229" s="37">
        <v>1134994.743890255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438</v>
      </c>
      <c r="H230" s="37">
        <v>19689.680241187158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438</v>
      </c>
      <c r="H231" s="37">
        <v>1306271.6870470794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438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438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438</v>
      </c>
      <c r="H234" s="37">
        <v>10619.3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438</v>
      </c>
      <c r="H235" s="37">
        <v>10619.3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438</v>
      </c>
      <c r="H236" s="38">
        <v>10619.3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500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501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439</v>
      </c>
      <c r="H244" s="36">
        <v>2499999.9999999949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439</v>
      </c>
      <c r="H245" s="37">
        <v>28300000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439</v>
      </c>
      <c r="H246" s="37">
        <v>3300000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439</v>
      </c>
      <c r="H247" s="37">
        <v>5000000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439</v>
      </c>
      <c r="H248" s="37">
        <v>6699999.9999999991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439</v>
      </c>
      <c r="H249" s="37">
        <v>2600000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439</v>
      </c>
      <c r="H250" s="37">
        <v>99999.999999999971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439</v>
      </c>
      <c r="H251" s="37">
        <v>1500000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439</v>
      </c>
      <c r="H252" s="37">
        <v>1700000.0000000002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439</v>
      </c>
      <c r="H253" s="37">
        <v>11500000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439</v>
      </c>
      <c r="H254" s="37">
        <v>1700000.0000000002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439</v>
      </c>
      <c r="H255" s="37">
        <v>600000.00000000012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439</v>
      </c>
      <c r="H256" s="37">
        <v>1100000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439</v>
      </c>
      <c r="H257" s="37">
        <v>899999.99999999988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439</v>
      </c>
      <c r="H258" s="37">
        <v>5400000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439</v>
      </c>
      <c r="H259" s="37">
        <v>7800000.0000000009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439</v>
      </c>
      <c r="H260" s="37">
        <v>2500000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439</v>
      </c>
      <c r="H261" s="37">
        <v>1100000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439</v>
      </c>
      <c r="H262" s="37">
        <v>799999.99999999988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439</v>
      </c>
      <c r="H263" s="37">
        <v>4400000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439</v>
      </c>
      <c r="H264" s="37">
        <v>2000000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439</v>
      </c>
      <c r="H265" s="37">
        <v>1599999.9999999998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439</v>
      </c>
      <c r="H266" s="37">
        <v>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439</v>
      </c>
      <c r="H267" s="37">
        <v>8900000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439</v>
      </c>
      <c r="H268" s="37">
        <v>7800000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439</v>
      </c>
      <c r="H269" s="37">
        <v>-400000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439</v>
      </c>
      <c r="H270" s="37">
        <v>500000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439</v>
      </c>
      <c r="H271" s="37">
        <v>2400000.0000000005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439</v>
      </c>
      <c r="H272" s="37">
        <v>32600000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439</v>
      </c>
      <c r="H273" s="37">
        <v>13300000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439</v>
      </c>
      <c r="H274" s="37">
        <v>6000000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439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742</v>
      </c>
      <c r="G276" s="115" t="s">
        <v>439</v>
      </c>
      <c r="H276" s="37">
        <v>300000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741</v>
      </c>
      <c r="G277" s="117" t="s">
        <v>439</v>
      </c>
      <c r="H277" s="38">
        <v>19399999.999999959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439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439</v>
      </c>
      <c r="H286" s="130"/>
      <c r="I286" s="130"/>
      <c r="J286" s="37">
        <v>3700000</v>
      </c>
      <c r="K286" s="37">
        <v>4300000</v>
      </c>
      <c r="L286" s="37">
        <v>12500000</v>
      </c>
      <c r="M286" s="37">
        <v>7800000.0000000009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439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439</v>
      </c>
      <c r="H288" s="130"/>
      <c r="I288" s="130"/>
      <c r="J288" s="37">
        <v>2300000</v>
      </c>
      <c r="K288" s="37">
        <v>500000</v>
      </c>
      <c r="L288" s="37">
        <v>1900000</v>
      </c>
      <c r="M288" s="37">
        <v>500000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439</v>
      </c>
      <c r="H289" s="130"/>
      <c r="I289" s="130"/>
      <c r="J289" s="37">
        <v>1200000.0000000002</v>
      </c>
      <c r="K289" s="37">
        <v>899999.99999999988</v>
      </c>
      <c r="L289" s="37">
        <v>900000</v>
      </c>
      <c r="M289" s="37">
        <v>800000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439</v>
      </c>
      <c r="H290" s="130"/>
      <c r="I290" s="130"/>
      <c r="J290" s="37">
        <v>400000</v>
      </c>
      <c r="K290" s="37">
        <v>0</v>
      </c>
      <c r="L290" s="37">
        <v>2000000</v>
      </c>
      <c r="M290" s="37">
        <v>200000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439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439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439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439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439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439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439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439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439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439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439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439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439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439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439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439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439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439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439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439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439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439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439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439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439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439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742</v>
      </c>
      <c r="G317" s="115" t="s">
        <v>439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741</v>
      </c>
      <c r="G318" s="117" t="s">
        <v>439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464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465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439</v>
      </c>
      <c r="H326" s="36">
        <v>3359999.9999999995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439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439</v>
      </c>
      <c r="H328" s="37">
        <v>889999.99999999988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439</v>
      </c>
      <c r="H329" s="38">
        <v>5650000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466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428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440</v>
      </c>
      <c r="H337" s="36">
        <v>70899999.99999997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440</v>
      </c>
      <c r="H338" s="37">
        <v>12628224.582701057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440</v>
      </c>
      <c r="H339" s="37">
        <v>144771775.41729894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440</v>
      </c>
      <c r="H340" s="37">
        <v>116300000.00000004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440</v>
      </c>
      <c r="H341" s="38">
        <v>0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467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468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0.12569832402234646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423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440</v>
      </c>
      <c r="H355" s="36">
        <v>331778402.07861471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440</v>
      </c>
      <c r="H356" s="37">
        <v>266500000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440</v>
      </c>
      <c r="H357" s="38">
        <v>254248500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424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439</v>
      </c>
      <c r="H363" s="37">
        <v>175512667.00000003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439</v>
      </c>
      <c r="H369" s="37">
        <v>5724088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469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470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439</v>
      </c>
      <c r="H376" s="37">
        <v>5160000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426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282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1405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6958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427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425</v>
      </c>
      <c r="F391" s="73"/>
      <c r="G391" s="115" t="s">
        <v>177</v>
      </c>
      <c r="H391" s="37">
        <v>757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allowBlank="1" showInputMessage="1" showErrorMessage="1" errorTitle="LV mains split" error="Insert value greater than or equal to 0%" promptTitle="LV mains split" prompt="Minimum value 0%" sqref="H19"/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7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H145 &amp; IF(H145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460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3991</v>
      </c>
      <c r="K20" s="152">
        <f>'DNO inputs'!H62</f>
        <v>32472</v>
      </c>
      <c r="L20" s="152">
        <f>'DNO inputs'!H63</f>
        <v>101753</v>
      </c>
      <c r="M20" s="152">
        <f>'DNO inputs'!H64</f>
        <v>0</v>
      </c>
      <c r="N20" s="152">
        <f>'DNO inputs'!H65</f>
        <v>4609</v>
      </c>
      <c r="O20" s="152">
        <f>'DNO inputs'!H66</f>
        <v>4848</v>
      </c>
      <c r="P20" s="152">
        <f>'DNO inputs'!H67</f>
        <v>703157</v>
      </c>
      <c r="Q20" s="152">
        <f>'DNO inputs'!H68</f>
        <v>0</v>
      </c>
      <c r="R20" s="152">
        <f>'DNO inputs'!H69</f>
        <v>6876</v>
      </c>
      <c r="S20" s="152">
        <f>'DNO inputs'!H70</f>
        <v>0</v>
      </c>
      <c r="T20" s="152">
        <f>'DNO inputs'!H71</f>
        <v>5393</v>
      </c>
      <c r="U20" s="152">
        <f>'DNO inputs'!H72</f>
        <v>48027</v>
      </c>
      <c r="V20" s="152">
        <f>'DNO inputs'!H73</f>
        <v>0</v>
      </c>
      <c r="W20" s="152">
        <f>'DNO inputs'!H74</f>
        <v>21400</v>
      </c>
      <c r="X20" s="152">
        <f>'DNO inputs'!H75</f>
        <v>64</v>
      </c>
      <c r="Y20" s="152">
        <f>'DNO inputs'!H76</f>
        <v>0</v>
      </c>
      <c r="Z20" s="152">
        <f>'DNO inputs'!H77</f>
        <v>0</v>
      </c>
      <c r="AA20" s="152">
        <f>'DNO inputs'!H78</f>
        <v>231715</v>
      </c>
      <c r="AB20" s="152">
        <f>'DNO inputs'!H79</f>
        <v>0</v>
      </c>
      <c r="AC20" s="152">
        <f>'DNO inputs'!H80</f>
        <v>4699</v>
      </c>
      <c r="AD20" s="152">
        <f>'DNO inputs'!H81</f>
        <v>0</v>
      </c>
      <c r="AE20" s="152">
        <f>'DNO inputs'!H82</f>
        <v>147</v>
      </c>
      <c r="AF20" s="152">
        <f>'DNO inputs'!H83</f>
        <v>1576</v>
      </c>
      <c r="AG20" s="152">
        <f>'DNO inputs'!H84</f>
        <v>2817</v>
      </c>
      <c r="AH20" s="152">
        <f>'DNO inputs'!H85</f>
        <v>0</v>
      </c>
      <c r="AI20" s="152">
        <f>'DNO inputs'!H86</f>
        <v>2969</v>
      </c>
      <c r="AJ20" s="152">
        <f>'DNO inputs'!H87</f>
        <v>5888</v>
      </c>
      <c r="AK20" s="152">
        <f>'DNO inputs'!H88</f>
        <v>14310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44432</v>
      </c>
      <c r="AU20" s="152">
        <f>'DNO inputs'!H98</f>
        <v>7211</v>
      </c>
      <c r="AV20" s="152">
        <f>'DNO inputs'!H99</f>
        <v>0</v>
      </c>
      <c r="AW20" s="152">
        <f>'DNO inputs'!H100</f>
        <v>0</v>
      </c>
      <c r="AX20" s="152">
        <f>'DNO inputs'!H101</f>
        <v>5220</v>
      </c>
      <c r="AY20" s="152">
        <f>'DNO inputs'!H102</f>
        <v>135</v>
      </c>
      <c r="AZ20" s="152">
        <f>'DNO inputs'!H103</f>
        <v>0</v>
      </c>
      <c r="BA20" s="152">
        <f>'DNO inputs'!H104</f>
        <v>0</v>
      </c>
      <c r="BB20" s="152">
        <f>'DNO inputs'!H105</f>
        <v>47448</v>
      </c>
      <c r="BC20" s="152">
        <f>'DNO inputs'!H106</f>
        <v>1227</v>
      </c>
      <c r="BD20" s="152">
        <f>'DNO inputs'!H107</f>
        <v>0</v>
      </c>
      <c r="BE20" s="152">
        <f>'DNO inputs'!H108</f>
        <v>0</v>
      </c>
      <c r="BF20" s="152">
        <f>'DNO inputs'!H109</f>
        <v>853</v>
      </c>
      <c r="BG20" s="152">
        <f>'DNO inputs'!H110</f>
        <v>84</v>
      </c>
      <c r="BH20" s="152">
        <f>'DNO inputs'!H111</f>
        <v>10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303</v>
      </c>
      <c r="BM20" s="152">
        <f>'DNO inputs'!H116</f>
        <v>446</v>
      </c>
      <c r="BN20" s="152">
        <f>'DNO inputs'!H117</f>
        <v>254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3914</v>
      </c>
      <c r="BS20" s="152">
        <f>'DNO inputs'!H122</f>
        <v>0</v>
      </c>
      <c r="BT20" s="152">
        <f>'DNO inputs'!H123</f>
        <v>0</v>
      </c>
      <c r="BU20" s="152">
        <f>'DNO inputs'!H124</f>
        <v>1544</v>
      </c>
      <c r="BV20" s="152">
        <f>'DNO inputs'!H125</f>
        <v>558</v>
      </c>
      <c r="BW20" s="152">
        <f>'DNO inputs'!H126</f>
        <v>152</v>
      </c>
      <c r="BX20" s="152">
        <f>'DNO inputs'!H127</f>
        <v>0</v>
      </c>
      <c r="BY20" s="152">
        <f>'DNO inputs'!H128</f>
        <v>0</v>
      </c>
      <c r="BZ20" s="152">
        <f>'DNO inputs'!H129</f>
        <v>0</v>
      </c>
      <c r="CA20" s="152">
        <f>'DNO inputs'!H130</f>
        <v>0</v>
      </c>
      <c r="CB20" s="152">
        <f>'DNO inputs'!H131</f>
        <v>0</v>
      </c>
      <c r="CC20" s="152">
        <f>'DNO inputs'!H132</f>
        <v>0</v>
      </c>
      <c r="CD20" s="152">
        <f>'DNO inputs'!H133</f>
        <v>0</v>
      </c>
      <c r="CE20" s="152">
        <f>'DNO inputs'!H134</f>
        <v>0</v>
      </c>
      <c r="CF20" s="152">
        <f>'DNO inputs'!H135</f>
        <v>0</v>
      </c>
      <c r="CG20" s="152">
        <f>'DNO inputs'!H136</f>
        <v>0</v>
      </c>
      <c r="CH20" s="152">
        <f>'DNO inputs'!H137</f>
        <v>0</v>
      </c>
      <c r="CI20" s="152">
        <f>'DNO inputs'!H138</f>
        <v>0</v>
      </c>
      <c r="CJ20" s="152">
        <f>'DNO inputs'!H139</f>
        <v>0</v>
      </c>
      <c r="CK20" s="152">
        <f>'DNO inputs'!H140</f>
        <v>0</v>
      </c>
      <c r="CL20" s="152">
        <f>'DNO inputs'!H141</f>
        <v>0</v>
      </c>
      <c r="CM20" s="152">
        <f>'DNO inputs'!H142</f>
        <v>0</v>
      </c>
      <c r="CN20" s="152">
        <f>'DNO inputs'!H143</f>
        <v>410</v>
      </c>
      <c r="CO20" s="152">
        <f>'DNO inputs'!H144</f>
        <v>1525</v>
      </c>
      <c r="CP20" s="152">
        <f>'DNO inputs'!H145</f>
        <v>40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23029.912068579626</v>
      </c>
      <c r="K21" s="152">
        <f>'DNO inputs'!H153</f>
        <v>650.06022957164737</v>
      </c>
      <c r="L21" s="152">
        <f>'DNO inputs'!H154</f>
        <v>2248.4075897296416</v>
      </c>
      <c r="M21" s="152">
        <f>'DNO inputs'!H155</f>
        <v>146011.93283150168</v>
      </c>
      <c r="N21" s="152">
        <f>'DNO inputs'!H156</f>
        <v>146011.93283150168</v>
      </c>
      <c r="O21" s="152">
        <f>'DNO inputs'!H157</f>
        <v>146011.93283150168</v>
      </c>
      <c r="P21" s="152">
        <f>'DNO inputs'!H158</f>
        <v>1957.5855555837088</v>
      </c>
      <c r="Q21" s="152">
        <f>'DNO inputs'!H159</f>
        <v>0</v>
      </c>
      <c r="R21" s="152">
        <f>'DNO inputs'!H160</f>
        <v>12555.841679751265</v>
      </c>
      <c r="S21" s="152">
        <f>'DNO inputs'!H161</f>
        <v>0</v>
      </c>
      <c r="T21" s="152">
        <f>'DNO inputs'!H162</f>
        <v>6977.6505796519114</v>
      </c>
      <c r="U21" s="152">
        <f>'DNO inputs'!H163</f>
        <v>56.793168904399039</v>
      </c>
      <c r="V21" s="152">
        <f>'DNO inputs'!H164</f>
        <v>0</v>
      </c>
      <c r="W21" s="152">
        <f>'DNO inputs'!H165</f>
        <v>32247.695066761382</v>
      </c>
      <c r="X21" s="152">
        <f>'DNO inputs'!H166</f>
        <v>50748.707144555665</v>
      </c>
      <c r="Y21" s="152">
        <f>'DNO inputs'!H167</f>
        <v>0</v>
      </c>
      <c r="Z21" s="152">
        <f>'DNO inputs'!H168</f>
        <v>0</v>
      </c>
      <c r="AA21" s="152">
        <f>'DNO inputs'!H169</f>
        <v>3215.5023768654742</v>
      </c>
      <c r="AB21" s="152">
        <f>'DNO inputs'!H170</f>
        <v>0</v>
      </c>
      <c r="AC21" s="152">
        <f>'DNO inputs'!H171</f>
        <v>165614.13286979846</v>
      </c>
      <c r="AD21" s="152">
        <f>'DNO inputs'!H172</f>
        <v>0</v>
      </c>
      <c r="AE21" s="152">
        <f>'DNO inputs'!H173</f>
        <v>501783.66532963811</v>
      </c>
      <c r="AF21" s="152">
        <f>'DNO inputs'!H174</f>
        <v>13554.593348611237</v>
      </c>
      <c r="AG21" s="152">
        <f>'DNO inputs'!H175</f>
        <v>47538.954063866091</v>
      </c>
      <c r="AH21" s="152">
        <f>'DNO inputs'!H176</f>
        <v>0</v>
      </c>
      <c r="AI21" s="152">
        <f>'DNO inputs'!H177</f>
        <v>10717.229747674397</v>
      </c>
      <c r="AJ21" s="152">
        <f>'DNO inputs'!H178</f>
        <v>20021.44550693046</v>
      </c>
      <c r="AK21" s="152">
        <f>'DNO inputs'!H179</f>
        <v>2197.6184712342565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5526.9884188248416</v>
      </c>
      <c r="AU21" s="152">
        <f>'DNO inputs'!H189</f>
        <v>18916.732152441484</v>
      </c>
      <c r="AV21" s="152">
        <f>'DNO inputs'!H190</f>
        <v>0</v>
      </c>
      <c r="AW21" s="152">
        <f>'DNO inputs'!H191</f>
        <v>0</v>
      </c>
      <c r="AX21" s="152">
        <f>'DNO inputs'!H192</f>
        <v>39330.562447552998</v>
      </c>
      <c r="AY21" s="152">
        <f>'DNO inputs'!H193</f>
        <v>56358.19689393109</v>
      </c>
      <c r="AZ21" s="152">
        <f>'DNO inputs'!H194</f>
        <v>0</v>
      </c>
      <c r="BA21" s="152">
        <f>'DNO inputs'!H195</f>
        <v>0</v>
      </c>
      <c r="BB21" s="152">
        <f>'DNO inputs'!H196</f>
        <v>3285.664023312474</v>
      </c>
      <c r="BC21" s="152">
        <f>'DNO inputs'!H197</f>
        <v>56566.954456655061</v>
      </c>
      <c r="BD21" s="152">
        <f>'DNO inputs'!H198</f>
        <v>0</v>
      </c>
      <c r="BE21" s="152">
        <f>'DNO inputs'!H199</f>
        <v>0</v>
      </c>
      <c r="BF21" s="152">
        <f>'DNO inputs'!H200</f>
        <v>345750.78503524652</v>
      </c>
      <c r="BG21" s="152">
        <f>'DNO inputs'!H201</f>
        <v>345750.78503524652</v>
      </c>
      <c r="BH21" s="152">
        <f>'DNO inputs'!H202</f>
        <v>345750.78503524652</v>
      </c>
      <c r="BI21" s="152">
        <f>'DNO inputs'!H203</f>
        <v>699525.18212933722</v>
      </c>
      <c r="BJ21" s="152">
        <f>'DNO inputs'!H204</f>
        <v>699525.18212933722</v>
      </c>
      <c r="BK21" s="152">
        <f>'DNO inputs'!H205</f>
        <v>699525.18212933722</v>
      </c>
      <c r="BL21" s="152">
        <f>'DNO inputs'!H206</f>
        <v>623506.54097092676</v>
      </c>
      <c r="BM21" s="152">
        <f>'DNO inputs'!H207</f>
        <v>90631.472643105371</v>
      </c>
      <c r="BN21" s="152">
        <f>'DNO inputs'!H208</f>
        <v>98964.468062865169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8904.3129672194373</v>
      </c>
      <c r="BS21" s="152">
        <f>'DNO inputs'!H213</f>
        <v>445829.96395924932</v>
      </c>
      <c r="BT21" s="152">
        <f>'DNO inputs'!H214</f>
        <v>9705.3419297718847</v>
      </c>
      <c r="BU21" s="152">
        <f>'DNO inputs'!H215</f>
        <v>3734.4442311958201</v>
      </c>
      <c r="BV21" s="152">
        <f>'DNO inputs'!H216</f>
        <v>435557.36414622108</v>
      </c>
      <c r="BW21" s="152">
        <f>'DNO inputs'!H217</f>
        <v>17840.423999999999</v>
      </c>
      <c r="BX21" s="152">
        <f>'DNO inputs'!H218</f>
        <v>669468.58082220238</v>
      </c>
      <c r="BY21" s="152">
        <f>'DNO inputs'!H219</f>
        <v>17840.423999999999</v>
      </c>
      <c r="BZ21" s="152">
        <f>'DNO inputs'!H220</f>
        <v>69684.391568552339</v>
      </c>
      <c r="CA21" s="152">
        <f>'DNO inputs'!H221</f>
        <v>64631.473252930649</v>
      </c>
      <c r="CB21" s="152">
        <f>'DNO inputs'!H222</f>
        <v>6114.4935624679147</v>
      </c>
      <c r="CC21" s="152">
        <f>'DNO inputs'!H223</f>
        <v>122553.34307696488</v>
      </c>
      <c r="CD21" s="152">
        <f>'DNO inputs'!H224</f>
        <v>3164.7526909485059</v>
      </c>
      <c r="CE21" s="152">
        <f>'DNO inputs'!H225</f>
        <v>1193635.1116307019</v>
      </c>
      <c r="CF21" s="152">
        <f>'DNO inputs'!H226</f>
        <v>1193635.1116307019</v>
      </c>
      <c r="CG21" s="152">
        <f>'DNO inputs'!H227</f>
        <v>1193635.1116307019</v>
      </c>
      <c r="CH21" s="152">
        <f>'DNO inputs'!H228</f>
        <v>1050116.2795299818</v>
      </c>
      <c r="CI21" s="152">
        <f>'DNO inputs'!H229</f>
        <v>1134994.743890255</v>
      </c>
      <c r="CJ21" s="152">
        <f>'DNO inputs'!H230</f>
        <v>19689.680241187158</v>
      </c>
      <c r="CK21" s="152">
        <f>'DNO inputs'!H231</f>
        <v>1306271.6870470794</v>
      </c>
      <c r="CL21" s="152">
        <f>'DNO inputs'!H232</f>
        <v>0</v>
      </c>
      <c r="CM21" s="152">
        <f>'DNO inputs'!H233</f>
        <v>0</v>
      </c>
      <c r="CN21" s="152">
        <f>'DNO inputs'!H234</f>
        <v>10619.3</v>
      </c>
      <c r="CO21" s="152">
        <f>'DNO inputs'!H235</f>
        <v>10619.3</v>
      </c>
      <c r="CP21" s="152">
        <f>'DNO inputs'!H236</f>
        <v>10619.3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441</v>
      </c>
      <c r="H24" s="130"/>
      <c r="I24" s="143" t="s">
        <v>314</v>
      </c>
      <c r="J24" s="130">
        <f>J20 * J21 / $H22</f>
        <v>91.912379065701288</v>
      </c>
      <c r="K24" s="130">
        <f t="shared" ref="K24:BV24" si="0">K20 * K21 / $H22</f>
        <v>21.108755774650533</v>
      </c>
      <c r="L24" s="130">
        <f t="shared" si="0"/>
        <v>228.78221747776021</v>
      </c>
      <c r="M24" s="130">
        <f t="shared" si="0"/>
        <v>0</v>
      </c>
      <c r="N24" s="130">
        <f t="shared" si="0"/>
        <v>672.96899842039124</v>
      </c>
      <c r="O24" s="130">
        <f t="shared" si="0"/>
        <v>707.86585036712017</v>
      </c>
      <c r="P24" s="130">
        <f t="shared" si="0"/>
        <v>1376.4899865075738</v>
      </c>
      <c r="Q24" s="130">
        <f t="shared" si="0"/>
        <v>0</v>
      </c>
      <c r="R24" s="130">
        <f t="shared" si="0"/>
        <v>86.3339673899697</v>
      </c>
      <c r="S24" s="130">
        <f t="shared" si="0"/>
        <v>0</v>
      </c>
      <c r="T24" s="130">
        <f t="shared" si="0"/>
        <v>37.630469576062758</v>
      </c>
      <c r="U24" s="130">
        <f t="shared" si="0"/>
        <v>2.7276055229715728</v>
      </c>
      <c r="V24" s="130">
        <f t="shared" si="0"/>
        <v>0</v>
      </c>
      <c r="W24" s="130">
        <f t="shared" si="0"/>
        <v>690.10067442869354</v>
      </c>
      <c r="X24" s="130">
        <f t="shared" si="0"/>
        <v>3.2479172572515624</v>
      </c>
      <c r="Y24" s="130">
        <f t="shared" si="0"/>
        <v>0</v>
      </c>
      <c r="Z24" s="130">
        <f t="shared" si="0"/>
        <v>0</v>
      </c>
      <c r="AA24" s="130">
        <f t="shared" si="0"/>
        <v>745.08013325538332</v>
      </c>
      <c r="AB24" s="130">
        <f t="shared" si="0"/>
        <v>0</v>
      </c>
      <c r="AC24" s="130">
        <f t="shared" si="0"/>
        <v>778.22081035518306</v>
      </c>
      <c r="AD24" s="130">
        <f t="shared" si="0"/>
        <v>0</v>
      </c>
      <c r="AE24" s="130">
        <f t="shared" si="0"/>
        <v>73.762198803456798</v>
      </c>
      <c r="AF24" s="130">
        <f t="shared" si="0"/>
        <v>21.362039117411307</v>
      </c>
      <c r="AG24" s="130">
        <f t="shared" si="0"/>
        <v>133.91723359791078</v>
      </c>
      <c r="AH24" s="130">
        <f t="shared" si="0"/>
        <v>0</v>
      </c>
      <c r="AI24" s="130">
        <f t="shared" si="0"/>
        <v>31.819455120845284</v>
      </c>
      <c r="AJ24" s="130">
        <f t="shared" si="0"/>
        <v>117.88627114480654</v>
      </c>
      <c r="AK24" s="130">
        <f t="shared" si="0"/>
        <v>31.447920323362208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245.57514942522533</v>
      </c>
      <c r="AU24" s="130">
        <f t="shared" si="0"/>
        <v>136.40855555125555</v>
      </c>
      <c r="AV24" s="130">
        <f t="shared" si="0"/>
        <v>0</v>
      </c>
      <c r="AW24" s="130">
        <f t="shared" si="0"/>
        <v>0</v>
      </c>
      <c r="AX24" s="130">
        <f t="shared" si="0"/>
        <v>205.30553597622665</v>
      </c>
      <c r="AY24" s="130">
        <f t="shared" si="0"/>
        <v>7.608356580680697</v>
      </c>
      <c r="AZ24" s="130">
        <f t="shared" si="0"/>
        <v>0</v>
      </c>
      <c r="BA24" s="130">
        <f t="shared" si="0"/>
        <v>0</v>
      </c>
      <c r="BB24" s="130">
        <f t="shared" si="0"/>
        <v>155.89818657813026</v>
      </c>
      <c r="BC24" s="130">
        <f t="shared" si="0"/>
        <v>69.40765311831575</v>
      </c>
      <c r="BD24" s="130">
        <f t="shared" si="0"/>
        <v>0</v>
      </c>
      <c r="BE24" s="130">
        <f t="shared" si="0"/>
        <v>0</v>
      </c>
      <c r="BF24" s="130">
        <f t="shared" si="0"/>
        <v>294.92541963506528</v>
      </c>
      <c r="BG24" s="130">
        <f t="shared" si="0"/>
        <v>29.043065942960709</v>
      </c>
      <c r="BH24" s="130">
        <f t="shared" si="0"/>
        <v>3.457507850352465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188.9224819141908</v>
      </c>
      <c r="BM24" s="130">
        <f t="shared" si="0"/>
        <v>40.421636798824998</v>
      </c>
      <c r="BN24" s="130">
        <f t="shared" si="0"/>
        <v>25.136974887967753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34.851480953696878</v>
      </c>
      <c r="BS24" s="130">
        <f t="shared" si="0"/>
        <v>0</v>
      </c>
      <c r="BT24" s="130">
        <f t="shared" si="0"/>
        <v>0</v>
      </c>
      <c r="BU24" s="130">
        <f t="shared" si="0"/>
        <v>5.7659818929663462</v>
      </c>
      <c r="BV24" s="130">
        <f t="shared" si="0"/>
        <v>243.04100919359135</v>
      </c>
      <c r="BW24" s="130">
        <f t="shared" ref="BW24:CP24" si="1">BW20 * BW21 / $H22</f>
        <v>2.7117444479999997</v>
      </c>
      <c r="BX24" s="130">
        <f t="shared" si="1"/>
        <v>0</v>
      </c>
      <c r="BY24" s="130">
        <f t="shared" si="1"/>
        <v>0</v>
      </c>
      <c r="BZ24" s="130">
        <f t="shared" si="1"/>
        <v>0</v>
      </c>
      <c r="CA24" s="130">
        <f t="shared" si="1"/>
        <v>0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0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0</v>
      </c>
      <c r="CJ24" s="130">
        <f t="shared" si="1"/>
        <v>0</v>
      </c>
      <c r="CK24" s="130">
        <f t="shared" si="1"/>
        <v>0</v>
      </c>
      <c r="CL24" s="130">
        <f t="shared" si="1"/>
        <v>0</v>
      </c>
      <c r="CM24" s="130">
        <f t="shared" si="1"/>
        <v>0</v>
      </c>
      <c r="CN24" s="130">
        <f t="shared" si="1"/>
        <v>4.3539130000000004</v>
      </c>
      <c r="CO24" s="130">
        <f t="shared" si="1"/>
        <v>16.194432499999998</v>
      </c>
      <c r="CP24" s="130">
        <f t="shared" si="1"/>
        <v>0.42477199999999998</v>
      </c>
      <c r="CQ24" s="74"/>
      <c r="CR24" s="115" t="s">
        <v>569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441</v>
      </c>
      <c r="H25" s="130">
        <f>SUM(J24:CP24)</f>
        <v>7562.118741753955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526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1397.5987422822243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1828.221487819977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531.68943124213274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2493.7581316386518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1310.85094877097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7562.1187417539559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515</v>
      </c>
      <c r="F59" s="73"/>
      <c r="G59" s="115" t="s">
        <v>471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516</v>
      </c>
      <c r="F60" s="73"/>
      <c r="G60" s="115" t="s">
        <v>471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x14ac:dyDescent="0.25">
      <c r="A61" s="73"/>
      <c r="B61" s="73"/>
      <c r="C61" s="73"/>
      <c r="D61" s="73"/>
      <c r="E61" s="115" t="s">
        <v>527</v>
      </c>
      <c r="F61" s="73"/>
      <c r="G61" s="115" t="s">
        <v>231</v>
      </c>
      <c r="H61" s="136">
        <f>IF(H58 = H25, 0, 1)</f>
        <v>1</v>
      </c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74"/>
      <c r="CR61" s="73"/>
      <c r="CS61" s="42"/>
    </row>
    <row r="62" spans="1:97" x14ac:dyDescent="0.25">
      <c r="A62" s="73"/>
      <c r="B62" s="73"/>
      <c r="C62" s="73"/>
      <c r="D62" s="73"/>
      <c r="E62" s="109"/>
      <c r="F62" s="73"/>
      <c r="G62" s="73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3"/>
      <c r="CS62" s="42"/>
    </row>
    <row r="63" spans="1:97" x14ac:dyDescent="0.25">
      <c r="A63" s="115"/>
      <c r="B63" s="73"/>
      <c r="C63" s="73"/>
      <c r="D63" s="73"/>
      <c r="E63" s="112" t="s">
        <v>338</v>
      </c>
      <c r="F63" s="73"/>
      <c r="G63" s="73"/>
      <c r="H63" s="74"/>
      <c r="I63" s="132" t="s">
        <v>314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115" t="s">
        <v>569</v>
      </c>
      <c r="CS63" s="42"/>
    </row>
    <row r="64" spans="1:97" x14ac:dyDescent="0.25">
      <c r="A64" s="73"/>
      <c r="B64" s="73"/>
      <c r="C64" s="73"/>
      <c r="D64" s="73"/>
      <c r="E64" s="73"/>
      <c r="F64" s="113" t="s">
        <v>193</v>
      </c>
      <c r="G64" s="113" t="s">
        <v>44</v>
      </c>
      <c r="H64" s="153">
        <f>IF(H$60, H52 / H$58, 0)</f>
        <v>0.18481576262026078</v>
      </c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74"/>
      <c r="CR64" s="73"/>
      <c r="CS64" s="42"/>
    </row>
    <row r="65" spans="1:97" x14ac:dyDescent="0.25">
      <c r="A65" s="73"/>
      <c r="B65" s="73"/>
      <c r="C65" s="73"/>
      <c r="D65" s="73"/>
      <c r="E65" s="73"/>
      <c r="F65" s="115" t="s">
        <v>194</v>
      </c>
      <c r="G65" s="115" t="s">
        <v>44</v>
      </c>
      <c r="H65" s="154">
        <f>IF(H$60, H53 / H$58, 0)</f>
        <v>0.24176048409892328</v>
      </c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74"/>
      <c r="CR65" s="73"/>
      <c r="CS65" s="42"/>
    </row>
    <row r="66" spans="1:97" x14ac:dyDescent="0.25">
      <c r="A66" s="73"/>
      <c r="B66" s="73"/>
      <c r="C66" s="73"/>
      <c r="D66" s="73"/>
      <c r="E66" s="73"/>
      <c r="F66" s="115" t="s">
        <v>41</v>
      </c>
      <c r="G66" s="115" t="s">
        <v>44</v>
      </c>
      <c r="H66" s="154">
        <f>IF(H$60, H54 / H$58, 0)</f>
        <v>7.0309585104294831E-2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40</v>
      </c>
      <c r="G67" s="115" t="s">
        <v>44</v>
      </c>
      <c r="H67" s="154">
        <f>IF(H$60, H55 / H$58, 0)</f>
        <v>0.32976976649010542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7" t="s">
        <v>166</v>
      </c>
      <c r="G68" s="117" t="s">
        <v>44</v>
      </c>
      <c r="H68" s="155">
        <f>IF(H$60, H56 / H$58, 0)</f>
        <v>0.17334440168641568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73"/>
      <c r="G69" s="73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3"/>
      <c r="CS69" s="42"/>
    </row>
    <row r="70" spans="1:97" x14ac:dyDescent="0.25">
      <c r="A70" s="73"/>
      <c r="B70" s="73"/>
      <c r="C70" s="73"/>
      <c r="D70" s="73"/>
      <c r="E70" s="115" t="s">
        <v>239</v>
      </c>
      <c r="F70" s="73"/>
      <c r="G70" s="115" t="s">
        <v>231</v>
      </c>
      <c r="H70" s="136">
        <f>IF(SUM(H64:H68)= 1, 0, 1)</f>
        <v>0</v>
      </c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74"/>
      <c r="CR70" s="73"/>
      <c r="CS70" s="42"/>
    </row>
    <row r="71" spans="1:97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115"/>
      <c r="B72" s="73"/>
      <c r="C72" s="73"/>
      <c r="D72" s="73"/>
      <c r="E72" s="112" t="s">
        <v>339</v>
      </c>
      <c r="F72" s="73"/>
      <c r="G72" s="73"/>
      <c r="H72" s="74"/>
      <c r="I72" s="132" t="s">
        <v>314</v>
      </c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115" t="s">
        <v>357</v>
      </c>
      <c r="CS72" s="42"/>
    </row>
    <row r="73" spans="1:97" x14ac:dyDescent="0.25">
      <c r="A73" s="73"/>
      <c r="B73" s="73"/>
      <c r="C73" s="73"/>
      <c r="D73" s="73"/>
      <c r="E73" s="73"/>
      <c r="F73" s="113" t="s">
        <v>240</v>
      </c>
      <c r="G73" s="113" t="s">
        <v>44</v>
      </c>
      <c r="H73" s="153">
        <f>IF(H$59, H64 / (H$64 + H$65), 0)</f>
        <v>0.43325375953697992</v>
      </c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74"/>
      <c r="CR73" s="73"/>
      <c r="CS73" s="42"/>
    </row>
    <row r="74" spans="1:97" x14ac:dyDescent="0.25">
      <c r="A74" s="73"/>
      <c r="B74" s="73"/>
      <c r="C74" s="73"/>
      <c r="D74" s="73"/>
      <c r="E74" s="73"/>
      <c r="F74" s="117" t="s">
        <v>241</v>
      </c>
      <c r="G74" s="117" t="s">
        <v>44</v>
      </c>
      <c r="H74" s="150">
        <f>IF(H$59, H65 / (H$64 + H$65), 0)</f>
        <v>0.56674624046302013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74"/>
      <c r="CR74" s="73"/>
      <c r="CS74" s="42"/>
    </row>
    <row r="75" spans="1:97" x14ac:dyDescent="0.25">
      <c r="A75" s="73"/>
      <c r="B75" s="73"/>
      <c r="C75" s="73"/>
      <c r="D75" s="73"/>
      <c r="E75" s="73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3"/>
      <c r="CS75" s="42"/>
    </row>
    <row r="76" spans="1:97" x14ac:dyDescent="0.25">
      <c r="A76" s="73"/>
      <c r="B76" s="73"/>
      <c r="C76" s="73"/>
      <c r="D76" s="73"/>
      <c r="E76" s="115" t="s">
        <v>239</v>
      </c>
      <c r="F76" s="73"/>
      <c r="G76" s="115" t="s">
        <v>231</v>
      </c>
      <c r="H76" s="136">
        <f>IF(SUM(H73:H74)= 1, 0, 1)</f>
        <v>0</v>
      </c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6"/>
      <c r="CO76" s="136"/>
      <c r="CP76" s="136"/>
      <c r="CQ76" s="74"/>
      <c r="CR76" s="73"/>
      <c r="CS76" s="42"/>
    </row>
    <row r="77" spans="1:97" x14ac:dyDescent="0.25">
      <c r="A77" s="73"/>
      <c r="B77" s="73"/>
      <c r="C77" s="73"/>
      <c r="D77" s="73"/>
      <c r="E77" s="109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s="17" customFormat="1" x14ac:dyDescent="0.25">
      <c r="A78" s="73"/>
      <c r="B78" s="101"/>
      <c r="C78" s="110" t="s">
        <v>713</v>
      </c>
      <c r="D78" s="110"/>
      <c r="E78" s="110"/>
      <c r="F78" s="110"/>
      <c r="G78" s="110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0"/>
      <c r="CS78" s="42"/>
    </row>
    <row r="79" spans="1:97" s="17" customFormat="1" x14ac:dyDescent="0.25">
      <c r="A79" s="73"/>
      <c r="B79" s="73"/>
      <c r="C79" s="109"/>
      <c r="D79" s="109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x14ac:dyDescent="0.25">
      <c r="A80" s="115"/>
      <c r="B80" s="73"/>
      <c r="C80" s="73"/>
      <c r="D80" s="73"/>
      <c r="E80" s="112" t="s">
        <v>322</v>
      </c>
      <c r="F80" s="73"/>
      <c r="G80" s="73"/>
      <c r="H80" s="74"/>
      <c r="I80" s="132" t="s">
        <v>314</v>
      </c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115" t="s">
        <v>604</v>
      </c>
      <c r="CS80" s="42"/>
    </row>
    <row r="81" spans="1:97" x14ac:dyDescent="0.25">
      <c r="A81" s="73"/>
      <c r="B81" s="73"/>
      <c r="C81" s="73"/>
      <c r="D81" s="73"/>
      <c r="E81" s="73"/>
      <c r="F81" s="113" t="s">
        <v>38</v>
      </c>
      <c r="G81" s="113" t="str">
        <f>G$24</f>
        <v>£m</v>
      </c>
      <c r="H81" s="145">
        <f>SUMPRODUCT(J44:CP44, J$24:CP$24)</f>
        <v>446.00340220357663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74"/>
      <c r="CR81" s="73"/>
      <c r="CS81" s="42"/>
    </row>
    <row r="82" spans="1:97" x14ac:dyDescent="0.25">
      <c r="A82" s="73"/>
      <c r="B82" s="73"/>
      <c r="C82" s="73"/>
      <c r="D82" s="73"/>
      <c r="E82" s="73"/>
      <c r="F82" s="115" t="s">
        <v>37</v>
      </c>
      <c r="G82" s="115" t="str">
        <f>G$24</f>
        <v>£m</v>
      </c>
      <c r="H82" s="130">
        <f>SUMPRODUCT(J45:CP45, J$24:CP$24)</f>
        <v>954.56820759592279</v>
      </c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74"/>
      <c r="CR82" s="73"/>
      <c r="CS82" s="42"/>
    </row>
    <row r="83" spans="1:97" x14ac:dyDescent="0.25">
      <c r="A83" s="73"/>
      <c r="B83" s="73"/>
      <c r="C83" s="73"/>
      <c r="D83" s="73"/>
      <c r="E83" s="73"/>
      <c r="F83" s="115" t="s">
        <v>36</v>
      </c>
      <c r="G83" s="115" t="str">
        <f>G$24</f>
        <v>£m</v>
      </c>
      <c r="H83" s="130">
        <f>SUMPRODUCT(J46:CP46, J$24:CP$24)</f>
        <v>65.558611686792744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7" t="s">
        <v>35</v>
      </c>
      <c r="G84" s="117" t="str">
        <f>G$24</f>
        <v>£m</v>
      </c>
      <c r="H84" s="146">
        <f>SUMPRODUCT(J47:CP47, J$24:CP$24)</f>
        <v>0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3"/>
      <c r="CS85" s="42"/>
    </row>
    <row r="86" spans="1:97" x14ac:dyDescent="0.25">
      <c r="A86" s="115"/>
      <c r="B86" s="73"/>
      <c r="C86" s="73"/>
      <c r="D86" s="73"/>
      <c r="E86" s="115" t="s">
        <v>278</v>
      </c>
      <c r="F86" s="73"/>
      <c r="G86" s="115" t="str">
        <f>G$24</f>
        <v>£m</v>
      </c>
      <c r="H86" s="130">
        <f>SUM(H81:H84)</f>
        <v>1466.1302214862922</v>
      </c>
      <c r="I86" s="143" t="s">
        <v>314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115" t="s">
        <v>604</v>
      </c>
      <c r="CS86" s="42"/>
    </row>
    <row r="87" spans="1:97" x14ac:dyDescent="0.25">
      <c r="A87" s="73"/>
      <c r="B87" s="73"/>
      <c r="C87" s="73"/>
      <c r="D87" s="73"/>
      <c r="E87" s="115" t="s">
        <v>517</v>
      </c>
      <c r="F87" s="73"/>
      <c r="G87" s="115" t="s">
        <v>471</v>
      </c>
      <c r="H87" s="130" t="b">
        <f>H86 &gt; 0</f>
        <v>1</v>
      </c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74"/>
      <c r="CR87" s="73"/>
      <c r="CS87" s="42"/>
    </row>
    <row r="88" spans="1:97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3"/>
      <c r="CS88" s="42"/>
    </row>
    <row r="89" spans="1:97" x14ac:dyDescent="0.25">
      <c r="A89" s="115"/>
      <c r="B89" s="73"/>
      <c r="C89" s="73"/>
      <c r="D89" s="73"/>
      <c r="E89" s="112" t="s">
        <v>322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115" t="s">
        <v>604</v>
      </c>
      <c r="CS89" s="42"/>
    </row>
    <row r="90" spans="1:97" x14ac:dyDescent="0.25">
      <c r="A90" s="73"/>
      <c r="B90" s="73"/>
      <c r="C90" s="73"/>
      <c r="D90" s="73"/>
      <c r="E90" s="73"/>
      <c r="F90" s="113" t="s">
        <v>38</v>
      </c>
      <c r="G90" s="113" t="s">
        <v>44</v>
      </c>
      <c r="H90" s="153">
        <f>IF(H$87, H81 / H$86, 0)</f>
        <v>0.30420449402607624</v>
      </c>
      <c r="I90" s="131" t="s">
        <v>314</v>
      </c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74"/>
      <c r="CR90" s="115" t="s">
        <v>538</v>
      </c>
      <c r="CS90" s="42"/>
    </row>
    <row r="91" spans="1:97" x14ac:dyDescent="0.25">
      <c r="A91" s="73"/>
      <c r="B91" s="73"/>
      <c r="C91" s="73"/>
      <c r="D91" s="73"/>
      <c r="E91" s="73"/>
      <c r="F91" s="115" t="s">
        <v>37</v>
      </c>
      <c r="G91" s="115" t="s">
        <v>44</v>
      </c>
      <c r="H91" s="154">
        <f>IF(H$87, H82 / H$86, 0)</f>
        <v>0.65108009752928186</v>
      </c>
      <c r="I91" s="131" t="s">
        <v>314</v>
      </c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74"/>
      <c r="CR91" s="115" t="s">
        <v>539</v>
      </c>
      <c r="CS91" s="42"/>
    </row>
    <row r="92" spans="1:97" x14ac:dyDescent="0.25">
      <c r="A92" s="73"/>
      <c r="B92" s="73"/>
      <c r="C92" s="73"/>
      <c r="D92" s="73"/>
      <c r="E92" s="73"/>
      <c r="F92" s="115" t="s">
        <v>36</v>
      </c>
      <c r="G92" s="115" t="s">
        <v>44</v>
      </c>
      <c r="H92" s="154">
        <f>IF(H$87, H83 / H$86, 0)</f>
        <v>4.4715408444641828E-2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541</v>
      </c>
      <c r="CS92" s="42"/>
    </row>
    <row r="93" spans="1:97" x14ac:dyDescent="0.25">
      <c r="A93" s="73"/>
      <c r="B93" s="73"/>
      <c r="C93" s="73"/>
      <c r="D93" s="73"/>
      <c r="E93" s="73"/>
      <c r="F93" s="117" t="s">
        <v>35</v>
      </c>
      <c r="G93" s="117" t="s">
        <v>44</v>
      </c>
      <c r="H93" s="155">
        <f>IF(H$87, H84 / H$86, 0)</f>
        <v>0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540</v>
      </c>
      <c r="CS93" s="42"/>
    </row>
    <row r="94" spans="1:97" x14ac:dyDescent="0.25">
      <c r="A94" s="73"/>
      <c r="B94" s="73"/>
      <c r="C94" s="73"/>
      <c r="D94" s="73"/>
      <c r="E94" s="73"/>
      <c r="F94" s="73"/>
      <c r="G94" s="73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101"/>
      <c r="CS94" s="42"/>
    </row>
    <row r="95" spans="1:97" x14ac:dyDescent="0.25">
      <c r="A95" s="73"/>
      <c r="B95" s="73"/>
      <c r="C95" s="73"/>
      <c r="D95" s="73"/>
      <c r="E95" s="115" t="s">
        <v>239</v>
      </c>
      <c r="F95" s="73"/>
      <c r="G95" s="115" t="s">
        <v>231</v>
      </c>
      <c r="H95" s="136">
        <f>IF(SUM(H90:H93) = 1, 0, 1)</f>
        <v>0</v>
      </c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74"/>
      <c r="CR95" s="73"/>
      <c r="CS95" s="42"/>
    </row>
    <row r="96" spans="1:97" x14ac:dyDescent="0.25">
      <c r="A96" s="73"/>
      <c r="B96" s="73"/>
      <c r="C96" s="73"/>
      <c r="D96" s="73"/>
      <c r="E96" s="109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3"/>
      <c r="CS96" s="42"/>
    </row>
    <row r="97" spans="1:97" x14ac:dyDescent="0.25">
      <c r="A97" s="73"/>
      <c r="B97" s="107" t="s">
        <v>237</v>
      </c>
      <c r="C97" s="107"/>
      <c r="D97" s="107"/>
      <c r="E97" s="107"/>
      <c r="F97" s="107"/>
      <c r="G97" s="107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7"/>
      <c r="CS97" s="42"/>
    </row>
    <row r="98" spans="1:97" x14ac:dyDescent="0.25">
      <c r="A98" s="73"/>
      <c r="B98" s="73"/>
      <c r="C98" s="73"/>
      <c r="D98" s="73"/>
      <c r="E98" s="73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73"/>
      <c r="C99" s="109" t="s">
        <v>396</v>
      </c>
      <c r="D99" s="109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3"/>
      <c r="CS99" s="42"/>
    </row>
    <row r="100" spans="1:97" x14ac:dyDescent="0.25">
      <c r="A100" s="73"/>
      <c r="B100" s="73"/>
      <c r="C100" s="109"/>
      <c r="D100" s="109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101"/>
      <c r="C101" s="110" t="s">
        <v>710</v>
      </c>
      <c r="D101" s="110"/>
      <c r="E101" s="110"/>
      <c r="F101" s="110"/>
      <c r="G101" s="110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0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73"/>
      <c r="C103" s="73"/>
      <c r="D103" s="109"/>
      <c r="E103" s="115" t="s">
        <v>233</v>
      </c>
      <c r="F103" s="73"/>
      <c r="G103" s="115" t="str">
        <f>G56</f>
        <v>£m</v>
      </c>
      <c r="H103" s="130">
        <f>H56</f>
        <v>1310.85094877097</v>
      </c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74"/>
      <c r="CR103" s="73"/>
      <c r="CS103" s="42"/>
    </row>
    <row r="104" spans="1:97" x14ac:dyDescent="0.25">
      <c r="A104" s="73"/>
      <c r="B104" s="73"/>
      <c r="C104" s="73"/>
      <c r="D104" s="73"/>
      <c r="E104" s="109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73"/>
      <c r="E105" s="112" t="str">
        <f>'DNO inputs'!E37</f>
        <v>CDCM notional EHV asset values</v>
      </c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73"/>
      <c r="F106" s="113" t="str">
        <f>'DNO inputs'!F38</f>
        <v>132kV</v>
      </c>
      <c r="G106" s="113" t="str">
        <f>'DNO inputs'!G38</f>
        <v>£</v>
      </c>
      <c r="H106" s="156">
        <f>'DNO inputs'!H38</f>
        <v>0</v>
      </c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73"/>
      <c r="F107" s="115" t="str">
        <f>'DNO inputs'!F39</f>
        <v>132kV/EHV</v>
      </c>
      <c r="G107" s="115" t="str">
        <f>'DNO inputs'!G39</f>
        <v>£</v>
      </c>
      <c r="H107" s="152">
        <f>'DNO inputs'!H39</f>
        <v>0</v>
      </c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5" t="str">
        <f>'DNO inputs'!F40</f>
        <v>EHV</v>
      </c>
      <c r="G108" s="115" t="str">
        <f>'DNO inputs'!G40</f>
        <v>£</v>
      </c>
      <c r="H108" s="152">
        <f>'DNO inputs'!H40</f>
        <v>190000205.79569644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inputs'!F41</f>
        <v>EHV/HV</v>
      </c>
      <c r="G109" s="115" t="str">
        <f>'DNO inputs'!G41</f>
        <v>£</v>
      </c>
      <c r="H109" s="152">
        <f>'DNO inputs'!H41</f>
        <v>201206670.19670227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7" t="str">
        <f>'DNO inputs'!F42</f>
        <v>132kV/HV</v>
      </c>
      <c r="G110" s="117" t="str">
        <f>'DNO inputs'!G42</f>
        <v>£</v>
      </c>
      <c r="H110" s="157">
        <f>'DNO inputs'!H42</f>
        <v>0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73"/>
      <c r="G111" s="73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3"/>
      <c r="CS111" s="42"/>
    </row>
    <row r="112" spans="1:97" x14ac:dyDescent="0.25">
      <c r="A112" s="115"/>
      <c r="B112" s="73"/>
      <c r="C112" s="73"/>
      <c r="D112" s="73"/>
      <c r="E112" s="115" t="s">
        <v>234</v>
      </c>
      <c r="F112" s="73"/>
      <c r="G112" s="115" t="s">
        <v>440</v>
      </c>
      <c r="H112" s="130">
        <f>SUM(H106:H110)</f>
        <v>391206875.99239874</v>
      </c>
      <c r="I112" s="143" t="s">
        <v>314</v>
      </c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115" t="s">
        <v>573</v>
      </c>
      <c r="CS112" s="42"/>
    </row>
    <row r="113" spans="1:97" x14ac:dyDescent="0.25">
      <c r="A113" s="73"/>
      <c r="B113" s="73"/>
      <c r="C113" s="73"/>
      <c r="D113" s="73"/>
      <c r="E113" s="109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73"/>
      <c r="B114" s="73"/>
      <c r="C114" s="73"/>
      <c r="D114" s="73"/>
      <c r="E114" s="115" t="str">
        <f>'DNO inputs'!E49</f>
        <v>EDCM notional asset value, total</v>
      </c>
      <c r="F114" s="73"/>
      <c r="G114" s="115" t="str">
        <f>'DNO inputs'!G49</f>
        <v>£</v>
      </c>
      <c r="H114" s="152">
        <f>'DNO inputs'!H49</f>
        <v>190810277.31896904</v>
      </c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73"/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">
        <v>518</v>
      </c>
      <c r="F116" s="73"/>
      <c r="G116" s="115" t="s">
        <v>471</v>
      </c>
      <c r="H116" s="130" t="b">
        <f>H112 + H114 &gt; 0</f>
        <v>1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115"/>
      <c r="B118" s="73"/>
      <c r="C118" s="73"/>
      <c r="D118" s="73"/>
      <c r="E118" s="115" t="s">
        <v>235</v>
      </c>
      <c r="F118" s="73"/>
      <c r="G118" s="115" t="s">
        <v>44</v>
      </c>
      <c r="H118" s="154">
        <f>IF(H116, H112 / (H112 + H114), 1)</f>
        <v>0.67215695236238293</v>
      </c>
      <c r="I118" s="131" t="s">
        <v>314</v>
      </c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74"/>
      <c r="CR118" s="115" t="s">
        <v>573</v>
      </c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73"/>
      <c r="B120" s="101"/>
      <c r="C120" s="110" t="s">
        <v>711</v>
      </c>
      <c r="D120" s="110"/>
      <c r="E120" s="110"/>
      <c r="F120" s="110"/>
      <c r="G120" s="110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0"/>
      <c r="CS120" s="42"/>
    </row>
    <row r="121" spans="1:97" x14ac:dyDescent="0.25">
      <c r="A121" s="73"/>
      <c r="B121" s="73"/>
      <c r="C121" s="109"/>
      <c r="D121" s="109"/>
      <c r="E121" s="73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115"/>
      <c r="B122" s="73"/>
      <c r="C122" s="73"/>
      <c r="D122" s="73"/>
      <c r="E122" s="115" t="s">
        <v>236</v>
      </c>
      <c r="F122" s="73"/>
      <c r="G122" s="115" t="str">
        <f>G112</f>
        <v>£</v>
      </c>
      <c r="H122" s="130">
        <f>H103 * H118</f>
        <v>881.09757872723333</v>
      </c>
      <c r="I122" s="143" t="s">
        <v>314</v>
      </c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74"/>
      <c r="CR122" s="115" t="s">
        <v>573</v>
      </c>
      <c r="CS122" s="42"/>
    </row>
    <row r="123" spans="1:97" x14ac:dyDescent="0.25">
      <c r="A123" s="73"/>
      <c r="B123" s="73"/>
      <c r="C123" s="73"/>
      <c r="D123" s="73"/>
      <c r="E123" s="109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109"/>
      <c r="E124" s="112" t="s">
        <v>362</v>
      </c>
      <c r="F124" s="73"/>
      <c r="G124" s="73"/>
      <c r="H124" s="74"/>
      <c r="I124" s="132" t="s">
        <v>314</v>
      </c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115" t="s">
        <v>569</v>
      </c>
      <c r="CS124" s="42"/>
    </row>
    <row r="125" spans="1:97" x14ac:dyDescent="0.25">
      <c r="A125" s="73"/>
      <c r="B125" s="73"/>
      <c r="C125" s="73"/>
      <c r="D125" s="73"/>
      <c r="E125" s="73"/>
      <c r="F125" s="113" t="s">
        <v>193</v>
      </c>
      <c r="G125" s="113" t="str">
        <f t="shared" ref="G125:G131" si="14">G$24</f>
        <v>£m</v>
      </c>
      <c r="H125" s="145">
        <f>H52</f>
        <v>1397.5987422822243</v>
      </c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30"/>
      <c r="CO125" s="130"/>
      <c r="CP125" s="130"/>
      <c r="CQ125" s="74"/>
      <c r="CR125" s="73"/>
      <c r="CS125" s="42"/>
    </row>
    <row r="126" spans="1:97" x14ac:dyDescent="0.25">
      <c r="A126" s="73"/>
      <c r="B126" s="73"/>
      <c r="C126" s="73"/>
      <c r="D126" s="73"/>
      <c r="E126" s="73"/>
      <c r="F126" s="115" t="s">
        <v>194</v>
      </c>
      <c r="G126" s="115" t="str">
        <f t="shared" si="14"/>
        <v>£m</v>
      </c>
      <c r="H126" s="130">
        <f>H53</f>
        <v>1828.221487819977</v>
      </c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30"/>
      <c r="CO126" s="130"/>
      <c r="CP126" s="130"/>
      <c r="CQ126" s="74"/>
      <c r="CR126" s="73"/>
      <c r="CS126" s="42"/>
    </row>
    <row r="127" spans="1:97" x14ac:dyDescent="0.25">
      <c r="A127" s="73"/>
      <c r="B127" s="73"/>
      <c r="C127" s="73"/>
      <c r="D127" s="73"/>
      <c r="E127" s="73"/>
      <c r="F127" s="115" t="s">
        <v>41</v>
      </c>
      <c r="G127" s="115" t="str">
        <f t="shared" si="14"/>
        <v>£m</v>
      </c>
      <c r="H127" s="130">
        <f>H54</f>
        <v>531.68943124213274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40</v>
      </c>
      <c r="G128" s="115" t="str">
        <f t="shared" si="14"/>
        <v>£m</v>
      </c>
      <c r="H128" s="130">
        <f>H55</f>
        <v>2493.7581316386518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115"/>
      <c r="B129" s="73"/>
      <c r="C129" s="73"/>
      <c r="D129" s="73"/>
      <c r="E129" s="73"/>
      <c r="F129" s="117" t="s">
        <v>166</v>
      </c>
      <c r="G129" s="117" t="str">
        <f t="shared" si="14"/>
        <v>£m</v>
      </c>
      <c r="H129" s="158">
        <f>H122</f>
        <v>881.09757872723333</v>
      </c>
      <c r="I129" s="143" t="s">
        <v>314</v>
      </c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115" t="s">
        <v>573</v>
      </c>
      <c r="CS129" s="42"/>
    </row>
    <row r="130" spans="1:97" x14ac:dyDescent="0.25">
      <c r="A130" s="73"/>
      <c r="B130" s="73"/>
      <c r="C130" s="73"/>
      <c r="D130" s="73"/>
      <c r="E130" s="73"/>
      <c r="F130" s="73"/>
      <c r="G130" s="73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115" t="s">
        <v>238</v>
      </c>
      <c r="F131" s="73"/>
      <c r="G131" s="115" t="str">
        <f t="shared" si="14"/>
        <v>£m</v>
      </c>
      <c r="H131" s="130">
        <f>SUM(H125:H129)</f>
        <v>7132.3653717102197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569</v>
      </c>
      <c r="CS131" s="42"/>
    </row>
    <row r="132" spans="1:97" x14ac:dyDescent="0.25">
      <c r="A132" s="73"/>
      <c r="B132" s="73"/>
      <c r="C132" s="73"/>
      <c r="D132" s="73"/>
      <c r="E132" s="115" t="s">
        <v>519</v>
      </c>
      <c r="F132" s="73"/>
      <c r="G132" s="115" t="s">
        <v>471</v>
      </c>
      <c r="H132" s="130" t="b">
        <f>H131 &gt; 0</f>
        <v>1</v>
      </c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74"/>
      <c r="CR132" s="73"/>
      <c r="CS132" s="42"/>
    </row>
    <row r="133" spans="1:97" x14ac:dyDescent="0.25">
      <c r="A133" s="73"/>
      <c r="B133" s="73"/>
      <c r="C133" s="73"/>
      <c r="D133" s="73"/>
      <c r="E133" s="109"/>
      <c r="F133" s="73"/>
      <c r="G133" s="73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3"/>
      <c r="CS133" s="42"/>
    </row>
    <row r="134" spans="1:97" x14ac:dyDescent="0.25">
      <c r="A134" s="115"/>
      <c r="B134" s="73"/>
      <c r="C134" s="73"/>
      <c r="D134" s="73"/>
      <c r="E134" s="112" t="s">
        <v>363</v>
      </c>
      <c r="F134" s="73"/>
      <c r="G134" s="73"/>
      <c r="H134" s="74"/>
      <c r="I134" s="132" t="s">
        <v>314</v>
      </c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115" t="s">
        <v>569</v>
      </c>
      <c r="CS134" s="42"/>
    </row>
    <row r="135" spans="1:97" x14ac:dyDescent="0.25">
      <c r="A135" s="73"/>
      <c r="B135" s="73"/>
      <c r="C135" s="73"/>
      <c r="D135" s="73"/>
      <c r="E135" s="73"/>
      <c r="F135" s="113" t="s">
        <v>193</v>
      </c>
      <c r="G135" s="113" t="s">
        <v>44</v>
      </c>
      <c r="H135" s="153">
        <f>IF(H$132, H125 / H$131, 0)</f>
        <v>0.19595164709671961</v>
      </c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74"/>
      <c r="CR135" s="73"/>
      <c r="CS135" s="42"/>
    </row>
    <row r="136" spans="1:97" x14ac:dyDescent="0.25">
      <c r="A136" s="73"/>
      <c r="B136" s="73"/>
      <c r="C136" s="73"/>
      <c r="D136" s="73"/>
      <c r="E136" s="73"/>
      <c r="F136" s="115" t="s">
        <v>194</v>
      </c>
      <c r="G136" s="115" t="s">
        <v>44</v>
      </c>
      <c r="H136" s="154">
        <f>IF(H$132, H126 / H$131, 0)</f>
        <v>0.25632751444162216</v>
      </c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5"/>
      <c r="CD136" s="135"/>
      <c r="CE136" s="135"/>
      <c r="CF136" s="135"/>
      <c r="CG136" s="135"/>
      <c r="CH136" s="135"/>
      <c r="CI136" s="135"/>
      <c r="CJ136" s="135"/>
      <c r="CK136" s="135"/>
      <c r="CL136" s="135"/>
      <c r="CM136" s="135"/>
      <c r="CN136" s="135"/>
      <c r="CO136" s="135"/>
      <c r="CP136" s="135"/>
      <c r="CQ136" s="74"/>
      <c r="CR136" s="73"/>
      <c r="CS136" s="42"/>
    </row>
    <row r="137" spans="1:97" x14ac:dyDescent="0.25">
      <c r="A137" s="73"/>
      <c r="B137" s="73"/>
      <c r="C137" s="73"/>
      <c r="D137" s="73"/>
      <c r="E137" s="73"/>
      <c r="F137" s="115" t="s">
        <v>41</v>
      </c>
      <c r="G137" s="115" t="s">
        <v>44</v>
      </c>
      <c r="H137" s="154">
        <f>IF(H$132, H127 / H$131, 0)</f>
        <v>7.4546017139141968E-2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40</v>
      </c>
      <c r="G138" s="115" t="s">
        <v>44</v>
      </c>
      <c r="H138" s="154">
        <f>IF(H$132, H128 / H$131, 0)</f>
        <v>0.34963970599850119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7" t="s">
        <v>166</v>
      </c>
      <c r="G139" s="117" t="s">
        <v>44</v>
      </c>
      <c r="H139" s="155">
        <f>IF(H$132, H129 / H$131, 0)</f>
        <v>0.12353511532401502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73"/>
      <c r="G140" s="73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115" t="s">
        <v>239</v>
      </c>
      <c r="F141" s="73"/>
      <c r="G141" s="115" t="s">
        <v>231</v>
      </c>
      <c r="H141" s="136">
        <f>IF(SUM(H135:H139) = 1, 0, 1)</f>
        <v>0</v>
      </c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109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107" t="s">
        <v>242</v>
      </c>
      <c r="C143" s="107"/>
      <c r="D143" s="107"/>
      <c r="E143" s="107"/>
      <c r="F143" s="107"/>
      <c r="G143" s="107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08"/>
      <c r="CR143" s="107"/>
      <c r="CS143" s="42"/>
    </row>
    <row r="144" spans="1:97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73"/>
      <c r="C145" s="109"/>
      <c r="D145" s="109"/>
      <c r="E145" s="115" t="s">
        <v>232</v>
      </c>
      <c r="F145" s="73"/>
      <c r="G145" s="115" t="s">
        <v>231</v>
      </c>
      <c r="H145" s="159">
        <f>H39 + H61 + H70 + H76 + H95 + H141</f>
        <v>1</v>
      </c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74"/>
      <c r="CR145" s="73"/>
      <c r="CS145" s="42"/>
    </row>
    <row r="146" spans="1:97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107" t="s">
        <v>30</v>
      </c>
      <c r="C147" s="107"/>
      <c r="D147" s="107"/>
      <c r="E147" s="107"/>
      <c r="F147" s="107"/>
      <c r="G147" s="107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8"/>
      <c r="BZ147" s="108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08"/>
      <c r="CR147" s="107"/>
      <c r="CS147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1">
    <cfRule type="cellIs" dxfId="38" priority="4" stopIfTrue="1" operator="greaterThan">
      <formula>0</formula>
    </cfRule>
  </conditionalFormatting>
  <conditionalFormatting sqref="H70">
    <cfRule type="cellIs" dxfId="37" priority="5" stopIfTrue="1" operator="greaterThan">
      <formula>0</formula>
    </cfRule>
  </conditionalFormatting>
  <conditionalFormatting sqref="H76">
    <cfRule type="cellIs" dxfId="36" priority="6" stopIfTrue="1" operator="greaterThan">
      <formula>0</formula>
    </cfRule>
  </conditionalFormatting>
  <conditionalFormatting sqref="H95">
    <cfRule type="cellIs" dxfId="35" priority="7" stopIfTrue="1" operator="greaterThan">
      <formula>0</formula>
    </cfRule>
  </conditionalFormatting>
  <conditionalFormatting sqref="H141">
    <cfRule type="cellIs" dxfId="34" priority="8" stopIfTrue="1" operator="greaterThan">
      <formula>0</formula>
    </cfRule>
  </conditionalFormatting>
  <conditionalFormatting sqref="H145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422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3700000</v>
      </c>
      <c r="L19" s="156">
        <f>'DNO inputs'!J287</f>
        <v>0</v>
      </c>
      <c r="M19" s="156">
        <f>'DNO inputs'!J288</f>
        <v>2300000</v>
      </c>
      <c r="N19" s="156">
        <f>'DNO inputs'!J289</f>
        <v>1200000.0000000002</v>
      </c>
      <c r="O19" s="156">
        <f>'DNO inputs'!J290</f>
        <v>400000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4300000</v>
      </c>
      <c r="L20" s="152">
        <f>'DNO inputs'!K287</f>
        <v>0</v>
      </c>
      <c r="M20" s="152">
        <f>'DNO inputs'!K288</f>
        <v>500000</v>
      </c>
      <c r="N20" s="152">
        <f>'DNO inputs'!K289</f>
        <v>899999.99999999988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12500000</v>
      </c>
      <c r="L21" s="152">
        <f>'DNO inputs'!L287</f>
        <v>0</v>
      </c>
      <c r="M21" s="152">
        <f>'DNO inputs'!L288</f>
        <v>1900000</v>
      </c>
      <c r="N21" s="152">
        <f>'DNO inputs'!L289</f>
        <v>900000</v>
      </c>
      <c r="O21" s="152">
        <f>'DNO inputs'!L290</f>
        <v>2000000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7800000.0000000009</v>
      </c>
      <c r="L22" s="162">
        <f>'DNO inputs'!M287</f>
        <v>0</v>
      </c>
      <c r="M22" s="162">
        <f>'DNO inputs'!M288</f>
        <v>500000</v>
      </c>
      <c r="N22" s="162">
        <f>'DNO inputs'!M289</f>
        <v>800000</v>
      </c>
      <c r="O22" s="162">
        <f>'DNO inputs'!M290</f>
        <v>200000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421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3359999.9999999995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889999.99999999988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5650000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3359999.9999999995</v>
      </c>
      <c r="K31" s="163">
        <f t="shared" si="0"/>
        <v>3700000</v>
      </c>
      <c r="L31" s="163">
        <f t="shared" si="0"/>
        <v>0</v>
      </c>
      <c r="M31" s="163">
        <f t="shared" si="0"/>
        <v>2300000</v>
      </c>
      <c r="N31" s="163">
        <f t="shared" si="0"/>
        <v>1200000.0000000002</v>
      </c>
      <c r="O31" s="163">
        <f t="shared" si="0"/>
        <v>400000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4300000</v>
      </c>
      <c r="L32" s="164">
        <f t="shared" si="2"/>
        <v>0</v>
      </c>
      <c r="M32" s="164">
        <f t="shared" si="2"/>
        <v>500000</v>
      </c>
      <c r="N32" s="164">
        <f t="shared" si="2"/>
        <v>899999.99999999988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889999.99999999988</v>
      </c>
      <c r="K33" s="164">
        <f t="shared" si="4"/>
        <v>12500000</v>
      </c>
      <c r="L33" s="164">
        <f t="shared" si="4"/>
        <v>0</v>
      </c>
      <c r="M33" s="164">
        <f t="shared" si="4"/>
        <v>1900000</v>
      </c>
      <c r="N33" s="164">
        <f t="shared" si="4"/>
        <v>900000</v>
      </c>
      <c r="O33" s="164">
        <f t="shared" si="4"/>
        <v>2000000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5650000</v>
      </c>
      <c r="K34" s="165">
        <f t="shared" si="6"/>
        <v>7800000.0000000009</v>
      </c>
      <c r="L34" s="165">
        <f t="shared" si="6"/>
        <v>0</v>
      </c>
      <c r="M34" s="165">
        <f t="shared" si="6"/>
        <v>500000</v>
      </c>
      <c r="N34" s="165">
        <f t="shared" si="6"/>
        <v>800000</v>
      </c>
      <c r="O34" s="165">
        <f t="shared" si="6"/>
        <v>200000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MEAV!F73</f>
        <v>Services share of LV MEAV</v>
      </c>
      <c r="F38" s="73"/>
      <c r="G38" s="115" t="str">
        <f>MEAV!G73</f>
        <v>%</v>
      </c>
      <c r="H38" s="166">
        <f>MEAV!H73</f>
        <v>0.43325375953697992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536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520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520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1603038.9102868256</v>
      </c>
      <c r="L45" s="163">
        <f t="shared" si="10"/>
        <v>0</v>
      </c>
      <c r="M45" s="163">
        <f t="shared" si="10"/>
        <v>996483.64693505387</v>
      </c>
      <c r="N45" s="163">
        <f t="shared" si="10"/>
        <v>519904.51144437602</v>
      </c>
      <c r="O45" s="163">
        <f t="shared" si="10"/>
        <v>173301.50381479197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3359999.9999999995</v>
      </c>
      <c r="K46" s="171">
        <f t="shared" ref="K46:AQ46" si="12">K$31 - K45</f>
        <v>2096961.0897131744</v>
      </c>
      <c r="L46" s="171">
        <f t="shared" si="12"/>
        <v>0</v>
      </c>
      <c r="M46" s="171">
        <f t="shared" si="12"/>
        <v>1303516.3530649461</v>
      </c>
      <c r="N46" s="171">
        <f t="shared" si="12"/>
        <v>680095.48855562415</v>
      </c>
      <c r="O46" s="171">
        <f t="shared" si="12"/>
        <v>226698.49618520803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4300000</v>
      </c>
      <c r="L47" s="164">
        <f t="shared" si="14"/>
        <v>0</v>
      </c>
      <c r="M47" s="164">
        <f t="shared" si="14"/>
        <v>500000</v>
      </c>
      <c r="N47" s="164">
        <f t="shared" si="14"/>
        <v>899999.99999999988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889999.99999999988</v>
      </c>
      <c r="K48" s="164">
        <f t="shared" si="16"/>
        <v>12500000</v>
      </c>
      <c r="L48" s="164">
        <f t="shared" si="16"/>
        <v>0</v>
      </c>
      <c r="M48" s="164">
        <f t="shared" si="16"/>
        <v>1900000</v>
      </c>
      <c r="N48" s="164">
        <f t="shared" si="16"/>
        <v>900000</v>
      </c>
      <c r="O48" s="164">
        <f t="shared" si="16"/>
        <v>2000000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5650000</v>
      </c>
      <c r="K49" s="165">
        <f t="shared" si="18"/>
        <v>7800000.0000000009</v>
      </c>
      <c r="L49" s="165">
        <f t="shared" si="18"/>
        <v>0</v>
      </c>
      <c r="M49" s="165">
        <f t="shared" si="18"/>
        <v>500000</v>
      </c>
      <c r="N49" s="165">
        <f t="shared" si="18"/>
        <v>800000</v>
      </c>
      <c r="O49" s="165">
        <f t="shared" si="18"/>
        <v>200000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439</v>
      </c>
      <c r="H51" s="130"/>
      <c r="I51" s="130"/>
      <c r="J51" s="130">
        <f t="shared" ref="J51:AQ51" si="20">SUM(J45:J49)</f>
        <v>9900000</v>
      </c>
      <c r="K51" s="130">
        <f t="shared" si="20"/>
        <v>28300000</v>
      </c>
      <c r="L51" s="130">
        <f t="shared" si="20"/>
        <v>0</v>
      </c>
      <c r="M51" s="130">
        <f t="shared" si="20"/>
        <v>5200000</v>
      </c>
      <c r="N51" s="130">
        <f t="shared" si="20"/>
        <v>3800000</v>
      </c>
      <c r="O51" s="130">
        <f t="shared" si="20"/>
        <v>2600000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503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504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2499999.9999999949</v>
      </c>
      <c r="K60" s="152">
        <f>'DNO inputs'!H245</f>
        <v>28300000</v>
      </c>
      <c r="L60" s="152">
        <f>'DNO inputs'!H246</f>
        <v>3300000</v>
      </c>
      <c r="M60" s="152">
        <f>'DNO inputs'!H247</f>
        <v>5000000</v>
      </c>
      <c r="N60" s="152">
        <f>'DNO inputs'!H248</f>
        <v>6699999.9999999991</v>
      </c>
      <c r="O60" s="152">
        <f>'DNO inputs'!H249</f>
        <v>2600000</v>
      </c>
      <c r="P60" s="152">
        <f>'DNO inputs'!H250</f>
        <v>99999.999999999971</v>
      </c>
      <c r="Q60" s="152">
        <f>'DNO inputs'!H251</f>
        <v>1500000</v>
      </c>
      <c r="R60" s="152">
        <f>'DNO inputs'!H252</f>
        <v>1700000.0000000002</v>
      </c>
      <c r="S60" s="152">
        <f>'DNO inputs'!H253</f>
        <v>11500000</v>
      </c>
      <c r="T60" s="152">
        <f>'DNO inputs'!H254</f>
        <v>1700000.0000000002</v>
      </c>
      <c r="U60" s="152">
        <f>'DNO inputs'!H255</f>
        <v>600000.00000000012</v>
      </c>
      <c r="V60" s="152">
        <f>'DNO inputs'!H256</f>
        <v>1100000</v>
      </c>
      <c r="W60" s="152">
        <f>'DNO inputs'!H257</f>
        <v>899999.99999999988</v>
      </c>
      <c r="X60" s="152">
        <f>'DNO inputs'!H258</f>
        <v>5400000</v>
      </c>
      <c r="Y60" s="152">
        <f>'DNO inputs'!H259</f>
        <v>7800000.0000000009</v>
      </c>
      <c r="Z60" s="152">
        <f>'DNO inputs'!H260</f>
        <v>2500000</v>
      </c>
      <c r="AA60" s="152">
        <f>'DNO inputs'!H261</f>
        <v>1100000</v>
      </c>
      <c r="AB60" s="152">
        <f>'DNO inputs'!H262</f>
        <v>799999.99999999988</v>
      </c>
      <c r="AC60" s="152">
        <f>'DNO inputs'!H263</f>
        <v>4400000</v>
      </c>
      <c r="AD60" s="152">
        <f>'DNO inputs'!H264</f>
        <v>2000000</v>
      </c>
      <c r="AE60" s="152">
        <f>'DNO inputs'!H265</f>
        <v>1599999.9999999998</v>
      </c>
      <c r="AF60" s="152">
        <f>'DNO inputs'!H266</f>
        <v>0</v>
      </c>
      <c r="AG60" s="152">
        <f>'DNO inputs'!H267</f>
        <v>8900000</v>
      </c>
      <c r="AH60" s="152">
        <f>'DNO inputs'!H268</f>
        <v>7800000</v>
      </c>
      <c r="AI60" s="152">
        <f>'DNO inputs'!H269</f>
        <v>-400000</v>
      </c>
      <c r="AJ60" s="152">
        <f>'DNO inputs'!H270</f>
        <v>500000</v>
      </c>
      <c r="AK60" s="152">
        <f>'DNO inputs'!H271</f>
        <v>2400000.0000000005</v>
      </c>
      <c r="AL60" s="152">
        <f>'DNO inputs'!H272</f>
        <v>32600000</v>
      </c>
      <c r="AM60" s="152">
        <f>'DNO inputs'!H273</f>
        <v>13300000</v>
      </c>
      <c r="AN60" s="152">
        <f>'DNO inputs'!H274</f>
        <v>6000000</v>
      </c>
      <c r="AO60" s="152">
        <f>'DNO inputs'!H275</f>
        <v>0</v>
      </c>
      <c r="AP60" s="152">
        <f>'DNO inputs'!H276</f>
        <v>300000</v>
      </c>
      <c r="AQ60" s="152">
        <f>'DNO inputs'!H277</f>
        <v>19399999.999999959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-7400000.0000000056</v>
      </c>
      <c r="K62" s="130">
        <f t="shared" ref="K62:AQ62" si="22">K60 - K51</f>
        <v>0</v>
      </c>
      <c r="L62" s="130">
        <f t="shared" si="22"/>
        <v>3300000</v>
      </c>
      <c r="M62" s="130">
        <f t="shared" si="22"/>
        <v>-200000</v>
      </c>
      <c r="N62" s="130">
        <f t="shared" si="22"/>
        <v>2899999.9999999991</v>
      </c>
      <c r="O62" s="130">
        <f t="shared" si="22"/>
        <v>0</v>
      </c>
      <c r="P62" s="130">
        <f t="shared" si="22"/>
        <v>99999.999999999971</v>
      </c>
      <c r="Q62" s="130">
        <f t="shared" si="22"/>
        <v>1500000</v>
      </c>
      <c r="R62" s="130">
        <f t="shared" si="22"/>
        <v>1700000.0000000002</v>
      </c>
      <c r="S62" s="130">
        <f t="shared" si="22"/>
        <v>11500000</v>
      </c>
      <c r="T62" s="130">
        <f t="shared" si="22"/>
        <v>1700000.0000000002</v>
      </c>
      <c r="U62" s="130">
        <f t="shared" si="22"/>
        <v>600000.00000000012</v>
      </c>
      <c r="V62" s="130">
        <f t="shared" si="22"/>
        <v>1100000</v>
      </c>
      <c r="W62" s="130">
        <f t="shared" si="22"/>
        <v>899999.99999999988</v>
      </c>
      <c r="X62" s="130">
        <f t="shared" si="22"/>
        <v>5400000</v>
      </c>
      <c r="Y62" s="130">
        <f t="shared" si="22"/>
        <v>7800000.0000000009</v>
      </c>
      <c r="Z62" s="130">
        <f t="shared" si="22"/>
        <v>2500000</v>
      </c>
      <c r="AA62" s="130">
        <f t="shared" si="22"/>
        <v>1100000</v>
      </c>
      <c r="AB62" s="130">
        <f t="shared" si="22"/>
        <v>799999.99999999988</v>
      </c>
      <c r="AC62" s="130">
        <f t="shared" si="22"/>
        <v>4400000</v>
      </c>
      <c r="AD62" s="130">
        <f t="shared" si="22"/>
        <v>2000000</v>
      </c>
      <c r="AE62" s="130">
        <f t="shared" si="22"/>
        <v>1599999.9999999998</v>
      </c>
      <c r="AF62" s="130">
        <f t="shared" si="22"/>
        <v>0</v>
      </c>
      <c r="AG62" s="130">
        <f t="shared" si="22"/>
        <v>8900000</v>
      </c>
      <c r="AH62" s="130">
        <f t="shared" si="22"/>
        <v>7800000</v>
      </c>
      <c r="AI62" s="130">
        <f t="shared" si="22"/>
        <v>-400000</v>
      </c>
      <c r="AJ62" s="130">
        <f t="shared" si="22"/>
        <v>500000</v>
      </c>
      <c r="AK62" s="130">
        <f t="shared" si="22"/>
        <v>2400000.0000000005</v>
      </c>
      <c r="AL62" s="130">
        <f t="shared" si="22"/>
        <v>32600000</v>
      </c>
      <c r="AM62" s="130">
        <f t="shared" si="22"/>
        <v>13300000</v>
      </c>
      <c r="AN62" s="130">
        <f t="shared" si="22"/>
        <v>6000000</v>
      </c>
      <c r="AO62" s="130">
        <f t="shared" si="22"/>
        <v>0</v>
      </c>
      <c r="AP62" s="130">
        <f t="shared" ref="AP62" si="23">AP60 - AP51</f>
        <v>300000</v>
      </c>
      <c r="AQ62" s="130">
        <f t="shared" si="22"/>
        <v>19399999.999999959</v>
      </c>
      <c r="AR62" s="74"/>
      <c r="AS62" s="115" t="s">
        <v>569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536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3300000</v>
      </c>
      <c r="M69" s="130">
        <f t="shared" si="26"/>
        <v>-200000</v>
      </c>
      <c r="N69" s="130">
        <f t="shared" si="26"/>
        <v>2899999.9999999991</v>
      </c>
      <c r="O69" s="130">
        <f t="shared" si="26"/>
        <v>0</v>
      </c>
      <c r="P69" s="130">
        <f t="shared" si="26"/>
        <v>99999.999999999971</v>
      </c>
      <c r="Q69" s="130">
        <f t="shared" si="26"/>
        <v>1500000</v>
      </c>
      <c r="R69" s="130">
        <f t="shared" si="26"/>
        <v>1700000.0000000002</v>
      </c>
      <c r="S69" s="130">
        <f t="shared" si="26"/>
        <v>11500000</v>
      </c>
      <c r="T69" s="130">
        <f t="shared" si="26"/>
        <v>1700000.0000000002</v>
      </c>
      <c r="U69" s="130">
        <f t="shared" si="26"/>
        <v>600000.00000000012</v>
      </c>
      <c r="V69" s="130">
        <f t="shared" si="26"/>
        <v>1100000</v>
      </c>
      <c r="W69" s="130">
        <f t="shared" si="26"/>
        <v>899999.99999999988</v>
      </c>
      <c r="X69" s="130">
        <f t="shared" si="26"/>
        <v>5400000</v>
      </c>
      <c r="Y69" s="130">
        <f t="shared" si="26"/>
        <v>0</v>
      </c>
      <c r="Z69" s="130">
        <f t="shared" si="26"/>
        <v>0</v>
      </c>
      <c r="AA69" s="130">
        <f t="shared" si="26"/>
        <v>1100000</v>
      </c>
      <c r="AB69" s="130">
        <f t="shared" si="26"/>
        <v>799999.99999999988</v>
      </c>
      <c r="AC69" s="130">
        <f t="shared" si="26"/>
        <v>4400000</v>
      </c>
      <c r="AD69" s="130">
        <f t="shared" si="26"/>
        <v>2000000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MEAV!E63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MEAV!F64</f>
        <v>LV services</v>
      </c>
      <c r="G74" s="113" t="str">
        <f>MEAV!G64</f>
        <v>%</v>
      </c>
      <c r="H74" s="172">
        <f>MEAV!H64</f>
        <v>0.18481576262026078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MEAV!F65</f>
        <v>LV mains</v>
      </c>
      <c r="G75" s="115" t="str">
        <f>MEAV!G65</f>
        <v>%</v>
      </c>
      <c r="H75" s="166">
        <f>MEAV!H65</f>
        <v>0.24176048409892328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MEAV!F66</f>
        <v>HV/LV</v>
      </c>
      <c r="G76" s="115" t="str">
        <f>MEAV!G66</f>
        <v>%</v>
      </c>
      <c r="H76" s="166">
        <f>MEAV!H66</f>
        <v>7.0309585104294831E-2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MEAV!F67</f>
        <v>HV</v>
      </c>
      <c r="G77" s="115" t="str">
        <f>MEAV!G67</f>
        <v>%</v>
      </c>
      <c r="H77" s="166">
        <f>MEAV!H67</f>
        <v>0.32976976649010542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MEAV!F68</f>
        <v>EHV and 132kV</v>
      </c>
      <c r="G78" s="117" t="str">
        <f>MEAV!G68</f>
        <v>%</v>
      </c>
      <c r="H78" s="173">
        <f>MEAV!H68</f>
        <v>0.17334440168641568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MEAV!E134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MEAV!F135</f>
        <v>LV services</v>
      </c>
      <c r="G81" s="113" t="str">
        <f>MEAV!G135</f>
        <v>%</v>
      </c>
      <c r="H81" s="172">
        <f>MEAV!H135</f>
        <v>0.19595164709671961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MEAV!F136</f>
        <v>LV mains</v>
      </c>
      <c r="G82" s="115" t="str">
        <f>MEAV!G136</f>
        <v>%</v>
      </c>
      <c r="H82" s="166">
        <f>MEAV!H136</f>
        <v>0.25632751444162216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MEAV!F137</f>
        <v>HV/LV</v>
      </c>
      <c r="G83" s="115" t="str">
        <f>MEAV!G137</f>
        <v>%</v>
      </c>
      <c r="H83" s="166">
        <f>MEAV!H137</f>
        <v>7.4546017139141968E-2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MEAV!F138</f>
        <v>HV</v>
      </c>
      <c r="G84" s="115" t="str">
        <f>MEAV!G138</f>
        <v>%</v>
      </c>
      <c r="H84" s="166">
        <f>MEAV!H138</f>
        <v>0.34963970599850119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MEAV!F139</f>
        <v>EHV and 132kV</v>
      </c>
      <c r="G85" s="117" t="str">
        <f>MEAV!G139</f>
        <v>%</v>
      </c>
      <c r="H85" s="173">
        <f>MEAV!H139</f>
        <v>0.12353511532401502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609892.01664686063</v>
      </c>
      <c r="M90" s="163">
        <f t="shared" si="28"/>
        <v>-36963.152524052159</v>
      </c>
      <c r="N90" s="163">
        <f t="shared" si="28"/>
        <v>535965.71159875614</v>
      </c>
      <c r="O90" s="163">
        <f t="shared" si="28"/>
        <v>0</v>
      </c>
      <c r="P90" s="163">
        <f t="shared" si="28"/>
        <v>18481.576262026072</v>
      </c>
      <c r="Q90" s="163">
        <f t="shared" si="28"/>
        <v>277223.64393039118</v>
      </c>
      <c r="R90" s="163">
        <f t="shared" si="28"/>
        <v>314186.79645444336</v>
      </c>
      <c r="S90" s="163">
        <f t="shared" si="28"/>
        <v>2125381.2701329989</v>
      </c>
      <c r="T90" s="163">
        <f t="shared" si="28"/>
        <v>314186.79645444336</v>
      </c>
      <c r="U90" s="163">
        <f t="shared" si="28"/>
        <v>110889.45757215649</v>
      </c>
      <c r="V90" s="163">
        <f t="shared" si="28"/>
        <v>203297.33888228686</v>
      </c>
      <c r="W90" s="163">
        <f t="shared" si="28"/>
        <v>166334.18635823467</v>
      </c>
      <c r="X90" s="163">
        <f t="shared" si="28"/>
        <v>998005.11814940826</v>
      </c>
      <c r="Y90" s="163">
        <f t="shared" si="28"/>
        <v>0</v>
      </c>
      <c r="Z90" s="163">
        <f t="shared" si="28"/>
        <v>0</v>
      </c>
      <c r="AA90" s="163">
        <f t="shared" si="28"/>
        <v>203297.33888228686</v>
      </c>
      <c r="AB90" s="163">
        <f t="shared" si="28"/>
        <v>147852.61009620861</v>
      </c>
      <c r="AC90" s="163">
        <f t="shared" si="28"/>
        <v>813189.35552914743</v>
      </c>
      <c r="AD90" s="163">
        <f t="shared" si="28"/>
        <v>369631.52524052159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797809.5975264468</v>
      </c>
      <c r="M91" s="164">
        <f t="shared" si="30"/>
        <v>-48352.09681978466</v>
      </c>
      <c r="N91" s="164">
        <f t="shared" si="30"/>
        <v>701105.40388687735</v>
      </c>
      <c r="O91" s="164">
        <f t="shared" si="30"/>
        <v>0</v>
      </c>
      <c r="P91" s="164">
        <f t="shared" si="30"/>
        <v>24176.048409892323</v>
      </c>
      <c r="Q91" s="164">
        <f t="shared" si="30"/>
        <v>362640.72614838491</v>
      </c>
      <c r="R91" s="164">
        <f t="shared" si="30"/>
        <v>410992.82296816964</v>
      </c>
      <c r="S91" s="164">
        <f t="shared" si="30"/>
        <v>2780245.5671376176</v>
      </c>
      <c r="T91" s="164">
        <f t="shared" si="30"/>
        <v>410992.82296816964</v>
      </c>
      <c r="U91" s="164">
        <f t="shared" si="30"/>
        <v>145056.290459354</v>
      </c>
      <c r="V91" s="164">
        <f t="shared" si="30"/>
        <v>265936.53250881564</v>
      </c>
      <c r="W91" s="164">
        <f t="shared" si="30"/>
        <v>217584.43568903091</v>
      </c>
      <c r="X91" s="164">
        <f t="shared" si="30"/>
        <v>1305506.6141341857</v>
      </c>
      <c r="Y91" s="164">
        <f t="shared" si="30"/>
        <v>0</v>
      </c>
      <c r="Z91" s="164">
        <f t="shared" si="30"/>
        <v>0</v>
      </c>
      <c r="AA91" s="164">
        <f t="shared" si="30"/>
        <v>265936.53250881564</v>
      </c>
      <c r="AB91" s="164">
        <f t="shared" si="30"/>
        <v>193408.38727913861</v>
      </c>
      <c r="AC91" s="164">
        <f t="shared" si="30"/>
        <v>1063746.1300352626</v>
      </c>
      <c r="AD91" s="164">
        <f t="shared" si="30"/>
        <v>483520.96819784655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232021.63084417293</v>
      </c>
      <c r="M92" s="164">
        <f t="shared" si="32"/>
        <v>-14061.917020858966</v>
      </c>
      <c r="N92" s="164">
        <f t="shared" si="32"/>
        <v>203897.79680245495</v>
      </c>
      <c r="O92" s="164">
        <f t="shared" si="32"/>
        <v>0</v>
      </c>
      <c r="P92" s="164">
        <f t="shared" si="32"/>
        <v>7030.9585104294811</v>
      </c>
      <c r="Q92" s="164">
        <f t="shared" si="32"/>
        <v>105464.37765644224</v>
      </c>
      <c r="R92" s="164">
        <f t="shared" si="32"/>
        <v>119526.29467730122</v>
      </c>
      <c r="S92" s="164">
        <f t="shared" si="32"/>
        <v>808560.22869939054</v>
      </c>
      <c r="T92" s="164">
        <f t="shared" si="32"/>
        <v>119526.29467730122</v>
      </c>
      <c r="U92" s="164">
        <f t="shared" si="32"/>
        <v>42185.751062576906</v>
      </c>
      <c r="V92" s="164">
        <f t="shared" si="32"/>
        <v>77340.543614724316</v>
      </c>
      <c r="W92" s="164">
        <f t="shared" si="32"/>
        <v>63278.626593865338</v>
      </c>
      <c r="X92" s="164">
        <f t="shared" si="32"/>
        <v>379671.75956319208</v>
      </c>
      <c r="Y92" s="164">
        <f t="shared" si="32"/>
        <v>0</v>
      </c>
      <c r="Z92" s="164">
        <f t="shared" si="32"/>
        <v>0</v>
      </c>
      <c r="AA92" s="164">
        <f t="shared" si="32"/>
        <v>77340.543614724316</v>
      </c>
      <c r="AB92" s="164">
        <f t="shared" si="32"/>
        <v>56247.668083435856</v>
      </c>
      <c r="AC92" s="164">
        <f t="shared" si="32"/>
        <v>309362.17445889727</v>
      </c>
      <c r="AD92" s="164">
        <f t="shared" si="32"/>
        <v>140619.17020858967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1088240.2294173478</v>
      </c>
      <c r="M93" s="164">
        <f t="shared" si="34"/>
        <v>-65953.953298021079</v>
      </c>
      <c r="N93" s="164">
        <f t="shared" si="34"/>
        <v>956332.32282130537</v>
      </c>
      <c r="O93" s="164">
        <f t="shared" si="34"/>
        <v>0</v>
      </c>
      <c r="P93" s="164">
        <f t="shared" si="34"/>
        <v>32976.976649010532</v>
      </c>
      <c r="Q93" s="164">
        <f t="shared" si="34"/>
        <v>494654.64973515813</v>
      </c>
      <c r="R93" s="164">
        <f t="shared" si="34"/>
        <v>560608.6030331793</v>
      </c>
      <c r="S93" s="164">
        <f t="shared" si="34"/>
        <v>3792352.3146362123</v>
      </c>
      <c r="T93" s="164">
        <f t="shared" si="34"/>
        <v>560608.6030331793</v>
      </c>
      <c r="U93" s="164">
        <f t="shared" si="34"/>
        <v>197861.85989406329</v>
      </c>
      <c r="V93" s="164">
        <f t="shared" si="34"/>
        <v>362746.74313911598</v>
      </c>
      <c r="W93" s="164">
        <f t="shared" si="34"/>
        <v>296792.78984109481</v>
      </c>
      <c r="X93" s="164">
        <f t="shared" si="34"/>
        <v>1780756.7390465692</v>
      </c>
      <c r="Y93" s="164">
        <f t="shared" si="34"/>
        <v>0</v>
      </c>
      <c r="Z93" s="164">
        <f t="shared" si="34"/>
        <v>0</v>
      </c>
      <c r="AA93" s="164">
        <f t="shared" si="34"/>
        <v>362746.74313911598</v>
      </c>
      <c r="AB93" s="164">
        <f t="shared" si="34"/>
        <v>263815.81319208432</v>
      </c>
      <c r="AC93" s="164">
        <f t="shared" si="34"/>
        <v>1450986.9725564639</v>
      </c>
      <c r="AD93" s="164">
        <f t="shared" si="34"/>
        <v>659539.53298021085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572036.52556517173</v>
      </c>
      <c r="M94" s="165">
        <f t="shared" si="36"/>
        <v>-34668.880337283139</v>
      </c>
      <c r="N94" s="165">
        <f t="shared" si="36"/>
        <v>502698.76489060529</v>
      </c>
      <c r="O94" s="165">
        <f t="shared" si="36"/>
        <v>0</v>
      </c>
      <c r="P94" s="165">
        <f t="shared" si="36"/>
        <v>17334.440168641562</v>
      </c>
      <c r="Q94" s="165">
        <f t="shared" si="36"/>
        <v>260016.60252962352</v>
      </c>
      <c r="R94" s="165">
        <f t="shared" si="36"/>
        <v>294685.48286690668</v>
      </c>
      <c r="S94" s="165">
        <f t="shared" si="36"/>
        <v>1993460.6193937804</v>
      </c>
      <c r="T94" s="165">
        <f t="shared" si="36"/>
        <v>294685.48286690668</v>
      </c>
      <c r="U94" s="165">
        <f t="shared" si="36"/>
        <v>104006.64101184942</v>
      </c>
      <c r="V94" s="165">
        <f t="shared" si="36"/>
        <v>190678.84185505725</v>
      </c>
      <c r="W94" s="165">
        <f t="shared" si="36"/>
        <v>156009.96151777409</v>
      </c>
      <c r="X94" s="165">
        <f t="shared" si="36"/>
        <v>936059.76910664467</v>
      </c>
      <c r="Y94" s="165">
        <f t="shared" si="36"/>
        <v>0</v>
      </c>
      <c r="Z94" s="165">
        <f t="shared" si="36"/>
        <v>0</v>
      </c>
      <c r="AA94" s="165">
        <f t="shared" si="36"/>
        <v>190678.84185505725</v>
      </c>
      <c r="AB94" s="165">
        <f t="shared" si="36"/>
        <v>138675.52134913253</v>
      </c>
      <c r="AC94" s="165">
        <f t="shared" si="36"/>
        <v>762715.36742022901</v>
      </c>
      <c r="AD94" s="165">
        <f t="shared" si="36"/>
        <v>346688.80337283137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646640.43541917473</v>
      </c>
      <c r="M97" s="163">
        <f t="shared" si="38"/>
        <v>-39190.329419343921</v>
      </c>
      <c r="N97" s="163">
        <f t="shared" si="38"/>
        <v>568259.77658048668</v>
      </c>
      <c r="O97" s="163">
        <f t="shared" si="38"/>
        <v>0</v>
      </c>
      <c r="P97" s="163">
        <f t="shared" si="38"/>
        <v>19595.164709671957</v>
      </c>
      <c r="Q97" s="163">
        <f t="shared" si="38"/>
        <v>293927.47064507939</v>
      </c>
      <c r="R97" s="163">
        <f t="shared" si="38"/>
        <v>333117.80006442341</v>
      </c>
      <c r="S97" s="163">
        <f t="shared" si="38"/>
        <v>2253443.9416122753</v>
      </c>
      <c r="T97" s="163">
        <f t="shared" si="38"/>
        <v>333117.80006442341</v>
      </c>
      <c r="U97" s="163">
        <f t="shared" si="38"/>
        <v>117570.98825803179</v>
      </c>
      <c r="V97" s="163">
        <f t="shared" si="38"/>
        <v>215546.81180639158</v>
      </c>
      <c r="W97" s="163">
        <f t="shared" si="38"/>
        <v>176356.48238704764</v>
      </c>
      <c r="X97" s="163">
        <f t="shared" si="38"/>
        <v>1058138.8943222859</v>
      </c>
      <c r="Y97" s="163">
        <f t="shared" si="38"/>
        <v>0</v>
      </c>
      <c r="Z97" s="163">
        <f t="shared" si="38"/>
        <v>0</v>
      </c>
      <c r="AA97" s="163">
        <f t="shared" si="38"/>
        <v>215546.81180639158</v>
      </c>
      <c r="AB97" s="163">
        <f t="shared" si="38"/>
        <v>156761.31767737566</v>
      </c>
      <c r="AC97" s="163">
        <f t="shared" si="38"/>
        <v>862187.2472255663</v>
      </c>
      <c r="AD97" s="163">
        <f t="shared" si="38"/>
        <v>391903.29419343924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845880.79765735311</v>
      </c>
      <c r="M98" s="164">
        <f t="shared" si="40"/>
        <v>-51265.50288832443</v>
      </c>
      <c r="N98" s="164">
        <f t="shared" si="40"/>
        <v>743349.791880704</v>
      </c>
      <c r="O98" s="164">
        <f t="shared" si="40"/>
        <v>0</v>
      </c>
      <c r="P98" s="164">
        <f t="shared" si="40"/>
        <v>25632.751444162208</v>
      </c>
      <c r="Q98" s="164">
        <f t="shared" si="40"/>
        <v>384491.27166243322</v>
      </c>
      <c r="R98" s="164">
        <f t="shared" si="40"/>
        <v>435756.77455075772</v>
      </c>
      <c r="S98" s="164">
        <f t="shared" si="40"/>
        <v>2947766.416078655</v>
      </c>
      <c r="T98" s="164">
        <f t="shared" si="40"/>
        <v>435756.77455075772</v>
      </c>
      <c r="U98" s="164">
        <f t="shared" si="40"/>
        <v>153796.50866497331</v>
      </c>
      <c r="V98" s="164">
        <f t="shared" si="40"/>
        <v>281960.26588578435</v>
      </c>
      <c r="W98" s="164">
        <f t="shared" si="40"/>
        <v>230694.76299745991</v>
      </c>
      <c r="X98" s="164">
        <f t="shared" si="40"/>
        <v>1384168.5779847596</v>
      </c>
      <c r="Y98" s="164">
        <f t="shared" si="40"/>
        <v>0</v>
      </c>
      <c r="Z98" s="164">
        <f t="shared" si="40"/>
        <v>0</v>
      </c>
      <c r="AA98" s="164">
        <f t="shared" si="40"/>
        <v>281960.26588578435</v>
      </c>
      <c r="AB98" s="164">
        <f t="shared" si="40"/>
        <v>205062.01155329769</v>
      </c>
      <c r="AC98" s="164">
        <f t="shared" si="40"/>
        <v>1127841.0635431374</v>
      </c>
      <c r="AD98" s="164">
        <f t="shared" si="40"/>
        <v>512655.02888324432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246001.85655916849</v>
      </c>
      <c r="M99" s="164">
        <f t="shared" si="42"/>
        <v>-14909.203427828394</v>
      </c>
      <c r="N99" s="164">
        <f t="shared" si="42"/>
        <v>216183.44970351164</v>
      </c>
      <c r="O99" s="164">
        <f t="shared" si="42"/>
        <v>0</v>
      </c>
      <c r="P99" s="164">
        <f t="shared" si="42"/>
        <v>7454.601713914195</v>
      </c>
      <c r="Q99" s="164">
        <f t="shared" si="42"/>
        <v>111819.02570871296</v>
      </c>
      <c r="R99" s="164">
        <f t="shared" si="42"/>
        <v>126728.22913654137</v>
      </c>
      <c r="S99" s="164">
        <f t="shared" si="42"/>
        <v>857279.19710013259</v>
      </c>
      <c r="T99" s="164">
        <f t="shared" si="42"/>
        <v>126728.22913654137</v>
      </c>
      <c r="U99" s="164">
        <f t="shared" si="42"/>
        <v>44727.610283485192</v>
      </c>
      <c r="V99" s="164">
        <f t="shared" si="42"/>
        <v>82000.618853056163</v>
      </c>
      <c r="W99" s="164">
        <f t="shared" si="42"/>
        <v>67091.415425227766</v>
      </c>
      <c r="X99" s="164">
        <f t="shared" si="42"/>
        <v>402548.49255136662</v>
      </c>
      <c r="Y99" s="164">
        <f t="shared" si="42"/>
        <v>0</v>
      </c>
      <c r="Z99" s="164">
        <f t="shared" si="42"/>
        <v>0</v>
      </c>
      <c r="AA99" s="164">
        <f t="shared" si="42"/>
        <v>82000.618853056163</v>
      </c>
      <c r="AB99" s="164">
        <f t="shared" si="42"/>
        <v>59636.813711313567</v>
      </c>
      <c r="AC99" s="164">
        <f t="shared" si="42"/>
        <v>328002.47541222465</v>
      </c>
      <c r="AD99" s="164">
        <f t="shared" si="42"/>
        <v>149092.03427828394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1153811.0297950539</v>
      </c>
      <c r="M100" s="164">
        <f t="shared" si="44"/>
        <v>-69927.941199700232</v>
      </c>
      <c r="N100" s="164">
        <f t="shared" si="44"/>
        <v>1013955.1473956532</v>
      </c>
      <c r="O100" s="164">
        <f t="shared" si="44"/>
        <v>0</v>
      </c>
      <c r="P100" s="164">
        <f t="shared" si="44"/>
        <v>34963.970599850109</v>
      </c>
      <c r="Q100" s="164">
        <f t="shared" si="44"/>
        <v>524459.5589977518</v>
      </c>
      <c r="R100" s="164">
        <f t="shared" si="44"/>
        <v>594387.50019745214</v>
      </c>
      <c r="S100" s="164">
        <f t="shared" si="44"/>
        <v>4020856.6189827635</v>
      </c>
      <c r="T100" s="164">
        <f t="shared" si="44"/>
        <v>594387.50019745214</v>
      </c>
      <c r="U100" s="164">
        <f t="shared" si="44"/>
        <v>209783.82359910075</v>
      </c>
      <c r="V100" s="164">
        <f t="shared" si="44"/>
        <v>384603.67659835133</v>
      </c>
      <c r="W100" s="164">
        <f t="shared" si="44"/>
        <v>314675.73539865104</v>
      </c>
      <c r="X100" s="164">
        <f t="shared" si="44"/>
        <v>1888054.4123919064</v>
      </c>
      <c r="Y100" s="164">
        <f t="shared" si="44"/>
        <v>0</v>
      </c>
      <c r="Z100" s="164">
        <f t="shared" si="44"/>
        <v>0</v>
      </c>
      <c r="AA100" s="164">
        <f t="shared" si="44"/>
        <v>384603.67659835133</v>
      </c>
      <c r="AB100" s="164">
        <f t="shared" si="44"/>
        <v>279711.76479880093</v>
      </c>
      <c r="AC100" s="164">
        <f t="shared" si="44"/>
        <v>1538414.7063934053</v>
      </c>
      <c r="AD100" s="164">
        <f t="shared" si="44"/>
        <v>699279.41199700243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407665.88056924957</v>
      </c>
      <c r="M101" s="165">
        <f t="shared" si="46"/>
        <v>-24707.023064803005</v>
      </c>
      <c r="N101" s="165">
        <f t="shared" si="46"/>
        <v>358251.83443964343</v>
      </c>
      <c r="O101" s="165">
        <f t="shared" si="46"/>
        <v>0</v>
      </c>
      <c r="P101" s="165">
        <f t="shared" si="46"/>
        <v>12353.511532401499</v>
      </c>
      <c r="Q101" s="165">
        <f t="shared" si="46"/>
        <v>185302.67298602255</v>
      </c>
      <c r="R101" s="165">
        <f t="shared" si="46"/>
        <v>210009.69605082556</v>
      </c>
      <c r="S101" s="165">
        <f t="shared" si="46"/>
        <v>1420653.8262261727</v>
      </c>
      <c r="T101" s="165">
        <f t="shared" si="46"/>
        <v>210009.69605082556</v>
      </c>
      <c r="U101" s="165">
        <f t="shared" si="46"/>
        <v>74121.069194409036</v>
      </c>
      <c r="V101" s="165">
        <f t="shared" si="46"/>
        <v>135888.62685641652</v>
      </c>
      <c r="W101" s="165">
        <f t="shared" si="46"/>
        <v>111181.60379161351</v>
      </c>
      <c r="X101" s="165">
        <f t="shared" si="46"/>
        <v>667089.62274968112</v>
      </c>
      <c r="Y101" s="165">
        <f t="shared" si="46"/>
        <v>0</v>
      </c>
      <c r="Z101" s="165">
        <f t="shared" si="46"/>
        <v>0</v>
      </c>
      <c r="AA101" s="165">
        <f t="shared" si="46"/>
        <v>135888.62685641652</v>
      </c>
      <c r="AB101" s="165">
        <f t="shared" si="46"/>
        <v>98828.092259212004</v>
      </c>
      <c r="AC101" s="165">
        <f t="shared" si="46"/>
        <v>543554.50742566609</v>
      </c>
      <c r="AD101" s="165">
        <f t="shared" si="46"/>
        <v>247070.23064803006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-7400000.0000000056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7800000.0000000009</v>
      </c>
      <c r="Z109" s="130">
        <f t="shared" si="48"/>
        <v>2500000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1599999.9999999998</v>
      </c>
      <c r="AF109" s="130">
        <f t="shared" si="48"/>
        <v>0</v>
      </c>
      <c r="AG109" s="130">
        <f t="shared" si="48"/>
        <v>8900000</v>
      </c>
      <c r="AH109" s="130">
        <f t="shared" si="48"/>
        <v>7800000</v>
      </c>
      <c r="AI109" s="130">
        <f t="shared" si="48"/>
        <v>-400000</v>
      </c>
      <c r="AJ109" s="130">
        <f t="shared" si="48"/>
        <v>500000</v>
      </c>
      <c r="AK109" s="130">
        <f t="shared" si="48"/>
        <v>2400000.0000000005</v>
      </c>
      <c r="AL109" s="130">
        <f t="shared" si="48"/>
        <v>32600000</v>
      </c>
      <c r="AM109" s="130">
        <f t="shared" si="48"/>
        <v>13300000</v>
      </c>
      <c r="AN109" s="130">
        <f t="shared" si="48"/>
        <v>6000000</v>
      </c>
      <c r="AO109" s="130">
        <f t="shared" si="48"/>
        <v>0</v>
      </c>
      <c r="AP109" s="130">
        <f t="shared" si="48"/>
        <v>300000</v>
      </c>
      <c r="AQ109" s="130">
        <f t="shared" si="48"/>
        <v>19399999.999999959</v>
      </c>
      <c r="AR109" s="74"/>
      <c r="AS109" s="73" t="s">
        <v>752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1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752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7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300000</v>
      </c>
      <c r="AQ116" s="130">
        <f t="shared" si="50"/>
        <v>0</v>
      </c>
      <c r="AR116" s="74"/>
      <c r="AS116" s="73" t="s">
        <v>752</v>
      </c>
      <c r="AT116" s="42"/>
    </row>
    <row r="117" spans="1:46" s="17" customFormat="1" x14ac:dyDescent="0.25">
      <c r="A117" s="115"/>
      <c r="B117" s="73"/>
      <c r="C117" s="73"/>
      <c r="D117" s="73"/>
      <c r="E117" s="217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7" t="s">
        <v>750</v>
      </c>
      <c r="F118" s="73"/>
      <c r="G118" s="217" t="s">
        <v>231</v>
      </c>
      <c r="H118" s="224"/>
      <c r="I118" s="225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7" t="s">
        <v>232</v>
      </c>
      <c r="F119" s="73"/>
      <c r="G119" s="217" t="s">
        <v>231</v>
      </c>
      <c r="H119" s="136">
        <f>SUM(J118:AQ118)</f>
        <v>0</v>
      </c>
      <c r="I119" s="225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459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2">
        <f t="shared" ref="J129:AQ129" si="52">J45 + J90 + J116</f>
        <v>0</v>
      </c>
      <c r="K129" s="222">
        <f t="shared" si="52"/>
        <v>1603038.9102868256</v>
      </c>
      <c r="L129" s="222">
        <f t="shared" si="52"/>
        <v>609892.01664686063</v>
      </c>
      <c r="M129" s="222">
        <f t="shared" si="52"/>
        <v>959520.49441100168</v>
      </c>
      <c r="N129" s="222">
        <f t="shared" si="52"/>
        <v>1055870.2230431321</v>
      </c>
      <c r="O129" s="222">
        <f t="shared" si="52"/>
        <v>173301.50381479197</v>
      </c>
      <c r="P129" s="222">
        <f t="shared" si="52"/>
        <v>18481.576262026072</v>
      </c>
      <c r="Q129" s="222">
        <f t="shared" si="52"/>
        <v>277223.64393039118</v>
      </c>
      <c r="R129" s="222">
        <f t="shared" si="52"/>
        <v>314186.79645444336</v>
      </c>
      <c r="S129" s="222">
        <f t="shared" si="52"/>
        <v>2125381.2701329989</v>
      </c>
      <c r="T129" s="222">
        <f t="shared" si="52"/>
        <v>314186.79645444336</v>
      </c>
      <c r="U129" s="222">
        <f t="shared" si="52"/>
        <v>110889.45757215649</v>
      </c>
      <c r="V129" s="222">
        <f t="shared" si="52"/>
        <v>203297.33888228686</v>
      </c>
      <c r="W129" s="222">
        <f t="shared" si="52"/>
        <v>166334.18635823467</v>
      </c>
      <c r="X129" s="222">
        <f t="shared" si="52"/>
        <v>998005.11814940826</v>
      </c>
      <c r="Y129" s="222">
        <f t="shared" si="52"/>
        <v>0</v>
      </c>
      <c r="Z129" s="222">
        <f t="shared" si="52"/>
        <v>0</v>
      </c>
      <c r="AA129" s="222">
        <f t="shared" si="52"/>
        <v>203297.33888228686</v>
      </c>
      <c r="AB129" s="222">
        <f t="shared" si="52"/>
        <v>147852.61009620861</v>
      </c>
      <c r="AC129" s="222">
        <f t="shared" si="52"/>
        <v>813189.35552914743</v>
      </c>
      <c r="AD129" s="222">
        <f t="shared" si="52"/>
        <v>369631.52524052159</v>
      </c>
      <c r="AE129" s="222">
        <f t="shared" si="52"/>
        <v>0</v>
      </c>
      <c r="AF129" s="222">
        <f t="shared" si="52"/>
        <v>0</v>
      </c>
      <c r="AG129" s="222">
        <f t="shared" si="52"/>
        <v>0</v>
      </c>
      <c r="AH129" s="222">
        <f t="shared" si="52"/>
        <v>0</v>
      </c>
      <c r="AI129" s="222">
        <f t="shared" si="52"/>
        <v>0</v>
      </c>
      <c r="AJ129" s="222">
        <f t="shared" si="52"/>
        <v>0</v>
      </c>
      <c r="AK129" s="222">
        <f t="shared" si="52"/>
        <v>0</v>
      </c>
      <c r="AL129" s="222">
        <f t="shared" si="52"/>
        <v>0</v>
      </c>
      <c r="AM129" s="222">
        <f t="shared" si="52"/>
        <v>0</v>
      </c>
      <c r="AN129" s="222">
        <f t="shared" si="52"/>
        <v>0</v>
      </c>
      <c r="AO129" s="222">
        <f t="shared" si="52"/>
        <v>0</v>
      </c>
      <c r="AP129" s="222">
        <f t="shared" si="52"/>
        <v>300000</v>
      </c>
      <c r="AQ129" s="222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3359999.9999999995</v>
      </c>
      <c r="K130" s="174">
        <f t="shared" si="53"/>
        <v>2096961.0897131744</v>
      </c>
      <c r="L130" s="174">
        <f t="shared" si="53"/>
        <v>797809.5975264468</v>
      </c>
      <c r="M130" s="174">
        <f t="shared" si="53"/>
        <v>1255164.2562451614</v>
      </c>
      <c r="N130" s="174">
        <f t="shared" si="53"/>
        <v>1381200.8924425016</v>
      </c>
      <c r="O130" s="174">
        <f t="shared" si="53"/>
        <v>226698.49618520803</v>
      </c>
      <c r="P130" s="174">
        <f t="shared" si="53"/>
        <v>24176.048409892323</v>
      </c>
      <c r="Q130" s="174">
        <f t="shared" si="53"/>
        <v>362640.72614838491</v>
      </c>
      <c r="R130" s="174">
        <f t="shared" si="53"/>
        <v>410992.82296816964</v>
      </c>
      <c r="S130" s="174">
        <f t="shared" si="53"/>
        <v>2780245.5671376176</v>
      </c>
      <c r="T130" s="174">
        <f t="shared" si="53"/>
        <v>410992.82296816964</v>
      </c>
      <c r="U130" s="174">
        <f t="shared" si="53"/>
        <v>145056.290459354</v>
      </c>
      <c r="V130" s="174">
        <f t="shared" si="53"/>
        <v>265936.53250881564</v>
      </c>
      <c r="W130" s="174">
        <f t="shared" si="53"/>
        <v>217584.43568903091</v>
      </c>
      <c r="X130" s="174">
        <f t="shared" si="53"/>
        <v>1305506.6141341857</v>
      </c>
      <c r="Y130" s="174">
        <f t="shared" si="53"/>
        <v>0</v>
      </c>
      <c r="Z130" s="174">
        <f t="shared" si="53"/>
        <v>0</v>
      </c>
      <c r="AA130" s="174">
        <f t="shared" si="53"/>
        <v>265936.53250881564</v>
      </c>
      <c r="AB130" s="174">
        <f t="shared" si="53"/>
        <v>193408.38727913861</v>
      </c>
      <c r="AC130" s="174">
        <f t="shared" si="53"/>
        <v>1063746.1300352626</v>
      </c>
      <c r="AD130" s="174">
        <f t="shared" si="53"/>
        <v>483520.96819784655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4300000</v>
      </c>
      <c r="L131" s="174">
        <f t="shared" si="54"/>
        <v>232021.63084417293</v>
      </c>
      <c r="M131" s="174">
        <f t="shared" si="54"/>
        <v>485938.08297914104</v>
      </c>
      <c r="N131" s="174">
        <f t="shared" si="54"/>
        <v>1103897.7968024549</v>
      </c>
      <c r="O131" s="174">
        <f t="shared" si="54"/>
        <v>0</v>
      </c>
      <c r="P131" s="174">
        <f t="shared" si="54"/>
        <v>7030.9585104294811</v>
      </c>
      <c r="Q131" s="174">
        <f t="shared" si="54"/>
        <v>105464.37765644224</v>
      </c>
      <c r="R131" s="174">
        <f t="shared" si="54"/>
        <v>119526.29467730122</v>
      </c>
      <c r="S131" s="174">
        <f t="shared" si="54"/>
        <v>808560.22869939054</v>
      </c>
      <c r="T131" s="174">
        <f t="shared" si="54"/>
        <v>119526.29467730122</v>
      </c>
      <c r="U131" s="174">
        <f t="shared" si="54"/>
        <v>42185.751062576906</v>
      </c>
      <c r="V131" s="174">
        <f t="shared" si="54"/>
        <v>77340.543614724316</v>
      </c>
      <c r="W131" s="174">
        <f t="shared" si="54"/>
        <v>63278.626593865338</v>
      </c>
      <c r="X131" s="174">
        <f t="shared" si="54"/>
        <v>379671.75956319208</v>
      </c>
      <c r="Y131" s="174">
        <f t="shared" si="54"/>
        <v>0</v>
      </c>
      <c r="Z131" s="174">
        <f t="shared" si="54"/>
        <v>0</v>
      </c>
      <c r="AA131" s="174">
        <f t="shared" si="54"/>
        <v>77340.543614724316</v>
      </c>
      <c r="AB131" s="174">
        <f t="shared" si="54"/>
        <v>56247.668083435856</v>
      </c>
      <c r="AC131" s="174">
        <f t="shared" si="54"/>
        <v>309362.17445889727</v>
      </c>
      <c r="AD131" s="174">
        <f t="shared" si="54"/>
        <v>140619.17020858967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889999.99999999988</v>
      </c>
      <c r="K132" s="174">
        <f t="shared" si="55"/>
        <v>12500000</v>
      </c>
      <c r="L132" s="174">
        <f t="shared" si="55"/>
        <v>1088240.2294173478</v>
      </c>
      <c r="M132" s="174">
        <f t="shared" si="55"/>
        <v>1834046.0467019789</v>
      </c>
      <c r="N132" s="174">
        <f t="shared" si="55"/>
        <v>1856332.3228213054</v>
      </c>
      <c r="O132" s="174">
        <f t="shared" si="55"/>
        <v>2000000</v>
      </c>
      <c r="P132" s="174">
        <f t="shared" si="55"/>
        <v>32976.976649010532</v>
      </c>
      <c r="Q132" s="174">
        <f t="shared" si="55"/>
        <v>494654.64973515813</v>
      </c>
      <c r="R132" s="174">
        <f t="shared" si="55"/>
        <v>560608.6030331793</v>
      </c>
      <c r="S132" s="174">
        <f t="shared" si="55"/>
        <v>3792352.3146362123</v>
      </c>
      <c r="T132" s="174">
        <f t="shared" si="55"/>
        <v>560608.6030331793</v>
      </c>
      <c r="U132" s="174">
        <f t="shared" si="55"/>
        <v>197861.85989406329</v>
      </c>
      <c r="V132" s="174">
        <f t="shared" si="55"/>
        <v>362746.74313911598</v>
      </c>
      <c r="W132" s="174">
        <f t="shared" si="55"/>
        <v>296792.78984109481</v>
      </c>
      <c r="X132" s="174">
        <f t="shared" si="55"/>
        <v>1780756.7390465692</v>
      </c>
      <c r="Y132" s="174">
        <f t="shared" si="55"/>
        <v>0</v>
      </c>
      <c r="Z132" s="174">
        <f t="shared" si="55"/>
        <v>0</v>
      </c>
      <c r="AA132" s="174">
        <f t="shared" si="55"/>
        <v>362746.74313911598</v>
      </c>
      <c r="AB132" s="174">
        <f t="shared" si="55"/>
        <v>263815.81319208432</v>
      </c>
      <c r="AC132" s="174">
        <f t="shared" si="55"/>
        <v>1450986.9725564639</v>
      </c>
      <c r="AD132" s="174">
        <f t="shared" si="55"/>
        <v>659539.53298021085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5650000</v>
      </c>
      <c r="K133" s="175">
        <f t="shared" si="56"/>
        <v>7800000.0000000009</v>
      </c>
      <c r="L133" s="175">
        <f t="shared" si="56"/>
        <v>572036.52556517173</v>
      </c>
      <c r="M133" s="175">
        <f t="shared" si="56"/>
        <v>465331.11966271687</v>
      </c>
      <c r="N133" s="175">
        <f t="shared" si="56"/>
        <v>1302698.7648906054</v>
      </c>
      <c r="O133" s="175">
        <f t="shared" si="56"/>
        <v>200000</v>
      </c>
      <c r="P133" s="175">
        <f t="shared" si="56"/>
        <v>17334.440168641562</v>
      </c>
      <c r="Q133" s="175">
        <f t="shared" si="56"/>
        <v>260016.60252962352</v>
      </c>
      <c r="R133" s="175">
        <f t="shared" si="56"/>
        <v>294685.48286690668</v>
      </c>
      <c r="S133" s="175">
        <f t="shared" si="56"/>
        <v>1993460.6193937804</v>
      </c>
      <c r="T133" s="175">
        <f t="shared" si="56"/>
        <v>294685.48286690668</v>
      </c>
      <c r="U133" s="175">
        <f t="shared" si="56"/>
        <v>104006.64101184942</v>
      </c>
      <c r="V133" s="175">
        <f t="shared" si="56"/>
        <v>190678.84185505725</v>
      </c>
      <c r="W133" s="175">
        <f t="shared" si="56"/>
        <v>156009.96151777409</v>
      </c>
      <c r="X133" s="175">
        <f t="shared" si="56"/>
        <v>936059.76910664467</v>
      </c>
      <c r="Y133" s="175">
        <f t="shared" si="56"/>
        <v>0</v>
      </c>
      <c r="Z133" s="175">
        <f t="shared" si="56"/>
        <v>0</v>
      </c>
      <c r="AA133" s="175">
        <f t="shared" si="56"/>
        <v>190678.84185505725</v>
      </c>
      <c r="AB133" s="175">
        <f t="shared" si="56"/>
        <v>138675.52134913253</v>
      </c>
      <c r="AC133" s="175">
        <f t="shared" si="56"/>
        <v>762715.36742022901</v>
      </c>
      <c r="AD133" s="175">
        <f t="shared" si="56"/>
        <v>346688.80337283137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2">
        <f t="shared" ref="J136:AQ136" si="57">J45 + J97 + J116</f>
        <v>0</v>
      </c>
      <c r="K136" s="222">
        <f t="shared" si="57"/>
        <v>1603038.9102868256</v>
      </c>
      <c r="L136" s="222">
        <f t="shared" si="57"/>
        <v>646640.43541917473</v>
      </c>
      <c r="M136" s="222">
        <f t="shared" si="57"/>
        <v>957293.3175157099</v>
      </c>
      <c r="N136" s="222">
        <f t="shared" si="57"/>
        <v>1088164.2880248628</v>
      </c>
      <c r="O136" s="222">
        <f t="shared" si="57"/>
        <v>173301.50381479197</v>
      </c>
      <c r="P136" s="222">
        <f t="shared" si="57"/>
        <v>19595.164709671957</v>
      </c>
      <c r="Q136" s="222">
        <f t="shared" si="57"/>
        <v>293927.47064507939</v>
      </c>
      <c r="R136" s="222">
        <f t="shared" si="57"/>
        <v>333117.80006442341</v>
      </c>
      <c r="S136" s="222">
        <f t="shared" si="57"/>
        <v>2253443.9416122753</v>
      </c>
      <c r="T136" s="222">
        <f t="shared" si="57"/>
        <v>333117.80006442341</v>
      </c>
      <c r="U136" s="222">
        <f t="shared" si="57"/>
        <v>117570.98825803179</v>
      </c>
      <c r="V136" s="222">
        <f t="shared" si="57"/>
        <v>215546.81180639158</v>
      </c>
      <c r="W136" s="222">
        <f t="shared" si="57"/>
        <v>176356.48238704764</v>
      </c>
      <c r="X136" s="222">
        <f t="shared" si="57"/>
        <v>1058138.8943222859</v>
      </c>
      <c r="Y136" s="222">
        <f t="shared" si="57"/>
        <v>0</v>
      </c>
      <c r="Z136" s="222">
        <f t="shared" si="57"/>
        <v>0</v>
      </c>
      <c r="AA136" s="222">
        <f t="shared" si="57"/>
        <v>215546.81180639158</v>
      </c>
      <c r="AB136" s="222">
        <f t="shared" si="57"/>
        <v>156761.31767737566</v>
      </c>
      <c r="AC136" s="222">
        <f t="shared" si="57"/>
        <v>862187.2472255663</v>
      </c>
      <c r="AD136" s="222">
        <f t="shared" si="57"/>
        <v>391903.29419343924</v>
      </c>
      <c r="AE136" s="222">
        <f t="shared" si="57"/>
        <v>0</v>
      </c>
      <c r="AF136" s="222">
        <f t="shared" si="57"/>
        <v>0</v>
      </c>
      <c r="AG136" s="222">
        <f t="shared" si="57"/>
        <v>0</v>
      </c>
      <c r="AH136" s="222">
        <f t="shared" si="57"/>
        <v>0</v>
      </c>
      <c r="AI136" s="222">
        <f t="shared" si="57"/>
        <v>0</v>
      </c>
      <c r="AJ136" s="222">
        <f t="shared" si="57"/>
        <v>0</v>
      </c>
      <c r="AK136" s="222">
        <f t="shared" si="57"/>
        <v>0</v>
      </c>
      <c r="AL136" s="222">
        <f t="shared" si="57"/>
        <v>0</v>
      </c>
      <c r="AM136" s="222">
        <f t="shared" si="57"/>
        <v>0</v>
      </c>
      <c r="AN136" s="222">
        <f t="shared" si="57"/>
        <v>0</v>
      </c>
      <c r="AO136" s="222">
        <f t="shared" si="57"/>
        <v>0</v>
      </c>
      <c r="AP136" s="222">
        <f t="shared" si="57"/>
        <v>300000</v>
      </c>
      <c r="AQ136" s="222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3359999.9999999995</v>
      </c>
      <c r="K137" s="174">
        <f t="shared" si="58"/>
        <v>2096961.0897131744</v>
      </c>
      <c r="L137" s="174">
        <f t="shared" si="58"/>
        <v>845880.79765735311</v>
      </c>
      <c r="M137" s="174">
        <f t="shared" si="58"/>
        <v>1252250.8501766217</v>
      </c>
      <c r="N137" s="174">
        <f t="shared" si="58"/>
        <v>1423445.2804363281</v>
      </c>
      <c r="O137" s="174">
        <f t="shared" si="58"/>
        <v>226698.49618520803</v>
      </c>
      <c r="P137" s="174">
        <f t="shared" si="58"/>
        <v>25632.751444162208</v>
      </c>
      <c r="Q137" s="174">
        <f t="shared" si="58"/>
        <v>384491.27166243322</v>
      </c>
      <c r="R137" s="174">
        <f t="shared" si="58"/>
        <v>435756.77455075772</v>
      </c>
      <c r="S137" s="174">
        <f t="shared" si="58"/>
        <v>2947766.416078655</v>
      </c>
      <c r="T137" s="174">
        <f t="shared" si="58"/>
        <v>435756.77455075772</v>
      </c>
      <c r="U137" s="174">
        <f t="shared" si="58"/>
        <v>153796.50866497331</v>
      </c>
      <c r="V137" s="174">
        <f t="shared" si="58"/>
        <v>281960.26588578435</v>
      </c>
      <c r="W137" s="174">
        <f t="shared" si="58"/>
        <v>230694.76299745991</v>
      </c>
      <c r="X137" s="174">
        <f t="shared" si="58"/>
        <v>1384168.5779847596</v>
      </c>
      <c r="Y137" s="174">
        <f t="shared" si="58"/>
        <v>0</v>
      </c>
      <c r="Z137" s="174">
        <f t="shared" si="58"/>
        <v>0</v>
      </c>
      <c r="AA137" s="174">
        <f t="shared" si="58"/>
        <v>281960.26588578435</v>
      </c>
      <c r="AB137" s="174">
        <f t="shared" si="58"/>
        <v>205062.01155329769</v>
      </c>
      <c r="AC137" s="174">
        <f t="shared" si="58"/>
        <v>1127841.0635431374</v>
      </c>
      <c r="AD137" s="174">
        <f t="shared" si="58"/>
        <v>512655.02888324432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4300000</v>
      </c>
      <c r="L138" s="174">
        <f t="shared" si="60"/>
        <v>246001.85655916849</v>
      </c>
      <c r="M138" s="174">
        <f t="shared" si="60"/>
        <v>485090.79657217162</v>
      </c>
      <c r="N138" s="174">
        <f t="shared" si="60"/>
        <v>1116183.4497035115</v>
      </c>
      <c r="O138" s="174">
        <f t="shared" si="60"/>
        <v>0</v>
      </c>
      <c r="P138" s="174">
        <f t="shared" si="60"/>
        <v>7454.601713914195</v>
      </c>
      <c r="Q138" s="174">
        <f t="shared" si="60"/>
        <v>111819.02570871296</v>
      </c>
      <c r="R138" s="174">
        <f t="shared" si="60"/>
        <v>126728.22913654137</v>
      </c>
      <c r="S138" s="174">
        <f t="shared" si="60"/>
        <v>857279.19710013259</v>
      </c>
      <c r="T138" s="174">
        <f t="shared" si="60"/>
        <v>126728.22913654137</v>
      </c>
      <c r="U138" s="174">
        <f t="shared" si="60"/>
        <v>44727.610283485192</v>
      </c>
      <c r="V138" s="174">
        <f t="shared" si="60"/>
        <v>82000.618853056163</v>
      </c>
      <c r="W138" s="174">
        <f t="shared" si="60"/>
        <v>67091.415425227766</v>
      </c>
      <c r="X138" s="174">
        <f t="shared" si="60"/>
        <v>402548.49255136662</v>
      </c>
      <c r="Y138" s="174">
        <f t="shared" si="60"/>
        <v>0</v>
      </c>
      <c r="Z138" s="174">
        <f t="shared" si="60"/>
        <v>0</v>
      </c>
      <c r="AA138" s="174">
        <f t="shared" si="60"/>
        <v>82000.618853056163</v>
      </c>
      <c r="AB138" s="174">
        <f t="shared" si="60"/>
        <v>59636.813711313567</v>
      </c>
      <c r="AC138" s="174">
        <f t="shared" si="60"/>
        <v>328002.47541222465</v>
      </c>
      <c r="AD138" s="174">
        <f t="shared" si="60"/>
        <v>149092.03427828394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889999.99999999988</v>
      </c>
      <c r="K139" s="174">
        <f t="shared" si="62"/>
        <v>12500000</v>
      </c>
      <c r="L139" s="174">
        <f t="shared" si="62"/>
        <v>1153811.0297950539</v>
      </c>
      <c r="M139" s="174">
        <f t="shared" si="62"/>
        <v>1830072.0588002997</v>
      </c>
      <c r="N139" s="174">
        <f t="shared" si="62"/>
        <v>1913955.1473956532</v>
      </c>
      <c r="O139" s="174">
        <f t="shared" si="62"/>
        <v>2000000</v>
      </c>
      <c r="P139" s="174">
        <f t="shared" si="62"/>
        <v>34963.970599850109</v>
      </c>
      <c r="Q139" s="174">
        <f t="shared" si="62"/>
        <v>524459.5589977518</v>
      </c>
      <c r="R139" s="174">
        <f t="shared" si="62"/>
        <v>594387.50019745214</v>
      </c>
      <c r="S139" s="174">
        <f t="shared" si="62"/>
        <v>4020856.6189827635</v>
      </c>
      <c r="T139" s="174">
        <f t="shared" si="62"/>
        <v>594387.50019745214</v>
      </c>
      <c r="U139" s="174">
        <f t="shared" si="62"/>
        <v>209783.82359910075</v>
      </c>
      <c r="V139" s="174">
        <f t="shared" si="62"/>
        <v>384603.67659835133</v>
      </c>
      <c r="W139" s="174">
        <f t="shared" si="62"/>
        <v>314675.73539865104</v>
      </c>
      <c r="X139" s="174">
        <f t="shared" si="62"/>
        <v>1888054.4123919064</v>
      </c>
      <c r="Y139" s="174">
        <f t="shared" si="62"/>
        <v>0</v>
      </c>
      <c r="Z139" s="174">
        <f t="shared" si="62"/>
        <v>0</v>
      </c>
      <c r="AA139" s="174">
        <f t="shared" si="62"/>
        <v>384603.67659835133</v>
      </c>
      <c r="AB139" s="174">
        <f t="shared" si="62"/>
        <v>279711.76479880093</v>
      </c>
      <c r="AC139" s="174">
        <f t="shared" si="62"/>
        <v>1538414.7063934053</v>
      </c>
      <c r="AD139" s="174">
        <f t="shared" si="62"/>
        <v>699279.41199700243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5650000</v>
      </c>
      <c r="K140" s="175">
        <f t="shared" si="64"/>
        <v>7800000.0000000009</v>
      </c>
      <c r="L140" s="175">
        <f t="shared" si="64"/>
        <v>407665.88056924957</v>
      </c>
      <c r="M140" s="175">
        <f t="shared" si="64"/>
        <v>475292.97693519702</v>
      </c>
      <c r="N140" s="175">
        <f t="shared" si="64"/>
        <v>1158251.8344396434</v>
      </c>
      <c r="O140" s="175">
        <f t="shared" si="64"/>
        <v>200000</v>
      </c>
      <c r="P140" s="175">
        <f t="shared" si="64"/>
        <v>12353.511532401499</v>
      </c>
      <c r="Q140" s="175">
        <f t="shared" si="64"/>
        <v>185302.67298602255</v>
      </c>
      <c r="R140" s="175">
        <f t="shared" si="64"/>
        <v>210009.69605082556</v>
      </c>
      <c r="S140" s="175">
        <f t="shared" si="64"/>
        <v>1420653.8262261727</v>
      </c>
      <c r="T140" s="175">
        <f t="shared" si="64"/>
        <v>210009.69605082556</v>
      </c>
      <c r="U140" s="175">
        <f t="shared" si="64"/>
        <v>74121.069194409036</v>
      </c>
      <c r="V140" s="175">
        <f t="shared" si="64"/>
        <v>135888.62685641652</v>
      </c>
      <c r="W140" s="175">
        <f t="shared" si="64"/>
        <v>111181.60379161351</v>
      </c>
      <c r="X140" s="175">
        <f t="shared" si="64"/>
        <v>667089.62274968112</v>
      </c>
      <c r="Y140" s="175">
        <f t="shared" si="64"/>
        <v>0</v>
      </c>
      <c r="Z140" s="175">
        <f t="shared" si="64"/>
        <v>0</v>
      </c>
      <c r="AA140" s="175">
        <f t="shared" si="64"/>
        <v>135888.62685641652</v>
      </c>
      <c r="AB140" s="175">
        <f t="shared" si="64"/>
        <v>98828.092259212004</v>
      </c>
      <c r="AC140" s="175">
        <f t="shared" si="64"/>
        <v>543554.50742566609</v>
      </c>
      <c r="AD140" s="175">
        <f t="shared" si="64"/>
        <v>247070.23064803006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493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525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8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SHEPD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H86 &amp; IF(H86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458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1603038.9102868256</v>
      </c>
      <c r="L21" s="156">
        <f>Expenditure!L129</f>
        <v>609892.01664686063</v>
      </c>
      <c r="M21" s="156">
        <f>Expenditure!M129</f>
        <v>959520.49441100168</v>
      </c>
      <c r="N21" s="156">
        <f>Expenditure!N129</f>
        <v>1055870.2230431321</v>
      </c>
      <c r="O21" s="156">
        <f>Expenditure!O129</f>
        <v>173301.50381479197</v>
      </c>
      <c r="P21" s="156">
        <f>Expenditure!P129</f>
        <v>18481.576262026072</v>
      </c>
      <c r="Q21" s="156">
        <f>Expenditure!Q129</f>
        <v>277223.64393039118</v>
      </c>
      <c r="R21" s="156">
        <f>Expenditure!R129</f>
        <v>314186.79645444336</v>
      </c>
      <c r="S21" s="156">
        <f>Expenditure!S129</f>
        <v>2125381.2701329989</v>
      </c>
      <c r="T21" s="156">
        <f>Expenditure!T129</f>
        <v>314186.79645444336</v>
      </c>
      <c r="U21" s="156">
        <f>Expenditure!U129</f>
        <v>110889.45757215649</v>
      </c>
      <c r="V21" s="156">
        <f>Expenditure!V129</f>
        <v>203297.33888228686</v>
      </c>
      <c r="W21" s="156">
        <f>Expenditure!W129</f>
        <v>166334.18635823467</v>
      </c>
      <c r="X21" s="156">
        <f>Expenditure!X129</f>
        <v>998005.11814940826</v>
      </c>
      <c r="Y21" s="156">
        <f>Expenditure!Y129</f>
        <v>0</v>
      </c>
      <c r="Z21" s="156">
        <f>Expenditure!Z129</f>
        <v>0</v>
      </c>
      <c r="AA21" s="156">
        <f>Expenditure!AA129</f>
        <v>203297.33888228686</v>
      </c>
      <c r="AB21" s="156">
        <f>Expenditure!AB129</f>
        <v>147852.61009620861</v>
      </c>
      <c r="AC21" s="156">
        <f>Expenditure!AC129</f>
        <v>813189.35552914743</v>
      </c>
      <c r="AD21" s="156">
        <f>Expenditure!AD129</f>
        <v>369631.52524052159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300000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3359999.9999999995</v>
      </c>
      <c r="K22" s="152">
        <f>Expenditure!K130</f>
        <v>2096961.0897131744</v>
      </c>
      <c r="L22" s="152">
        <f>Expenditure!L130</f>
        <v>797809.5975264468</v>
      </c>
      <c r="M22" s="152">
        <f>Expenditure!M130</f>
        <v>1255164.2562451614</v>
      </c>
      <c r="N22" s="152">
        <f>Expenditure!N130</f>
        <v>1381200.8924425016</v>
      </c>
      <c r="O22" s="152">
        <f>Expenditure!O130</f>
        <v>226698.49618520803</v>
      </c>
      <c r="P22" s="152">
        <f>Expenditure!P130</f>
        <v>24176.048409892323</v>
      </c>
      <c r="Q22" s="152">
        <f>Expenditure!Q130</f>
        <v>362640.72614838491</v>
      </c>
      <c r="R22" s="152">
        <f>Expenditure!R130</f>
        <v>410992.82296816964</v>
      </c>
      <c r="S22" s="152">
        <f>Expenditure!S130</f>
        <v>2780245.5671376176</v>
      </c>
      <c r="T22" s="152">
        <f>Expenditure!T130</f>
        <v>410992.82296816964</v>
      </c>
      <c r="U22" s="152">
        <f>Expenditure!U130</f>
        <v>145056.290459354</v>
      </c>
      <c r="V22" s="152">
        <f>Expenditure!V130</f>
        <v>265936.53250881564</v>
      </c>
      <c r="W22" s="152">
        <f>Expenditure!W130</f>
        <v>217584.43568903091</v>
      </c>
      <c r="X22" s="152">
        <f>Expenditure!X130</f>
        <v>1305506.6141341857</v>
      </c>
      <c r="Y22" s="152">
        <f>Expenditure!Y130</f>
        <v>0</v>
      </c>
      <c r="Z22" s="152">
        <f>Expenditure!Z130</f>
        <v>0</v>
      </c>
      <c r="AA22" s="152">
        <f>Expenditure!AA130</f>
        <v>265936.53250881564</v>
      </c>
      <c r="AB22" s="152">
        <f>Expenditure!AB130</f>
        <v>193408.38727913861</v>
      </c>
      <c r="AC22" s="152">
        <f>Expenditure!AC130</f>
        <v>1063746.1300352626</v>
      </c>
      <c r="AD22" s="152">
        <f>Expenditure!AD130</f>
        <v>483520.96819784655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4300000</v>
      </c>
      <c r="L23" s="152">
        <f>Expenditure!L131</f>
        <v>232021.63084417293</v>
      </c>
      <c r="M23" s="152">
        <f>Expenditure!M131</f>
        <v>485938.08297914104</v>
      </c>
      <c r="N23" s="152">
        <f>Expenditure!N131</f>
        <v>1103897.7968024549</v>
      </c>
      <c r="O23" s="152">
        <f>Expenditure!O131</f>
        <v>0</v>
      </c>
      <c r="P23" s="152">
        <f>Expenditure!P131</f>
        <v>7030.9585104294811</v>
      </c>
      <c r="Q23" s="152">
        <f>Expenditure!Q131</f>
        <v>105464.37765644224</v>
      </c>
      <c r="R23" s="152">
        <f>Expenditure!R131</f>
        <v>119526.29467730122</v>
      </c>
      <c r="S23" s="152">
        <f>Expenditure!S131</f>
        <v>808560.22869939054</v>
      </c>
      <c r="T23" s="152">
        <f>Expenditure!T131</f>
        <v>119526.29467730122</v>
      </c>
      <c r="U23" s="152">
        <f>Expenditure!U131</f>
        <v>42185.751062576906</v>
      </c>
      <c r="V23" s="152">
        <f>Expenditure!V131</f>
        <v>77340.543614724316</v>
      </c>
      <c r="W23" s="152">
        <f>Expenditure!W131</f>
        <v>63278.626593865338</v>
      </c>
      <c r="X23" s="152">
        <f>Expenditure!X131</f>
        <v>379671.75956319208</v>
      </c>
      <c r="Y23" s="152">
        <f>Expenditure!Y131</f>
        <v>0</v>
      </c>
      <c r="Z23" s="152">
        <f>Expenditure!Z131</f>
        <v>0</v>
      </c>
      <c r="AA23" s="152">
        <f>Expenditure!AA131</f>
        <v>77340.543614724316</v>
      </c>
      <c r="AB23" s="152">
        <f>Expenditure!AB131</f>
        <v>56247.668083435856</v>
      </c>
      <c r="AC23" s="152">
        <f>Expenditure!AC131</f>
        <v>309362.17445889727</v>
      </c>
      <c r="AD23" s="152">
        <f>Expenditure!AD131</f>
        <v>140619.17020858967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889999.99999999988</v>
      </c>
      <c r="K24" s="152">
        <f>Expenditure!K132</f>
        <v>12500000</v>
      </c>
      <c r="L24" s="152">
        <f>Expenditure!L132</f>
        <v>1088240.2294173478</v>
      </c>
      <c r="M24" s="152">
        <f>Expenditure!M132</f>
        <v>1834046.0467019789</v>
      </c>
      <c r="N24" s="152">
        <f>Expenditure!N132</f>
        <v>1856332.3228213054</v>
      </c>
      <c r="O24" s="152">
        <f>Expenditure!O132</f>
        <v>2000000</v>
      </c>
      <c r="P24" s="152">
        <f>Expenditure!P132</f>
        <v>32976.976649010532</v>
      </c>
      <c r="Q24" s="152">
        <f>Expenditure!Q132</f>
        <v>494654.64973515813</v>
      </c>
      <c r="R24" s="152">
        <f>Expenditure!R132</f>
        <v>560608.6030331793</v>
      </c>
      <c r="S24" s="152">
        <f>Expenditure!S132</f>
        <v>3792352.3146362123</v>
      </c>
      <c r="T24" s="152">
        <f>Expenditure!T132</f>
        <v>560608.6030331793</v>
      </c>
      <c r="U24" s="152">
        <f>Expenditure!U132</f>
        <v>197861.85989406329</v>
      </c>
      <c r="V24" s="152">
        <f>Expenditure!V132</f>
        <v>362746.74313911598</v>
      </c>
      <c r="W24" s="152">
        <f>Expenditure!W132</f>
        <v>296792.78984109481</v>
      </c>
      <c r="X24" s="152">
        <f>Expenditure!X132</f>
        <v>1780756.7390465692</v>
      </c>
      <c r="Y24" s="152">
        <f>Expenditure!Y132</f>
        <v>0</v>
      </c>
      <c r="Z24" s="152">
        <f>Expenditure!Z132</f>
        <v>0</v>
      </c>
      <c r="AA24" s="152">
        <f>Expenditure!AA132</f>
        <v>362746.74313911598</v>
      </c>
      <c r="AB24" s="152">
        <f>Expenditure!AB132</f>
        <v>263815.81319208432</v>
      </c>
      <c r="AC24" s="152">
        <f>Expenditure!AC132</f>
        <v>1450986.9725564639</v>
      </c>
      <c r="AD24" s="152">
        <f>Expenditure!AD132</f>
        <v>659539.53298021085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5650000</v>
      </c>
      <c r="K25" s="162">
        <f>Expenditure!K133</f>
        <v>7800000.0000000009</v>
      </c>
      <c r="L25" s="162">
        <f>Expenditure!L133</f>
        <v>572036.52556517173</v>
      </c>
      <c r="M25" s="162">
        <f>Expenditure!M133</f>
        <v>465331.11966271687</v>
      </c>
      <c r="N25" s="162">
        <f>Expenditure!N133</f>
        <v>1302698.7648906054</v>
      </c>
      <c r="O25" s="162">
        <f>Expenditure!O133</f>
        <v>200000</v>
      </c>
      <c r="P25" s="162">
        <f>Expenditure!P133</f>
        <v>17334.440168641562</v>
      </c>
      <c r="Q25" s="162">
        <f>Expenditure!Q133</f>
        <v>260016.60252962352</v>
      </c>
      <c r="R25" s="162">
        <f>Expenditure!R133</f>
        <v>294685.48286690668</v>
      </c>
      <c r="S25" s="162">
        <f>Expenditure!S133</f>
        <v>1993460.6193937804</v>
      </c>
      <c r="T25" s="162">
        <f>Expenditure!T133</f>
        <v>294685.48286690668</v>
      </c>
      <c r="U25" s="162">
        <f>Expenditure!U133</f>
        <v>104006.64101184942</v>
      </c>
      <c r="V25" s="162">
        <f>Expenditure!V133</f>
        <v>190678.84185505725</v>
      </c>
      <c r="W25" s="162">
        <f>Expenditure!W133</f>
        <v>156009.96151777409</v>
      </c>
      <c r="X25" s="162">
        <f>Expenditure!X133</f>
        <v>936059.76910664467</v>
      </c>
      <c r="Y25" s="162">
        <f>Expenditure!Y133</f>
        <v>0</v>
      </c>
      <c r="Z25" s="162">
        <f>Expenditure!Z133</f>
        <v>0</v>
      </c>
      <c r="AA25" s="162">
        <f>Expenditure!AA133</f>
        <v>190678.84185505725</v>
      </c>
      <c r="AB25" s="162">
        <f>Expenditure!AB133</f>
        <v>138675.52134913253</v>
      </c>
      <c r="AC25" s="162">
        <f>Expenditure!AC133</f>
        <v>762715.36742022901</v>
      </c>
      <c r="AD25" s="162">
        <f>Expenditure!AD133</f>
        <v>346688.80337283137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1603038.9102868256</v>
      </c>
      <c r="L28" s="156">
        <f>Expenditure!L136</f>
        <v>646640.43541917473</v>
      </c>
      <c r="M28" s="156">
        <f>Expenditure!M136</f>
        <v>957293.3175157099</v>
      </c>
      <c r="N28" s="156">
        <f>Expenditure!N136</f>
        <v>1088164.2880248628</v>
      </c>
      <c r="O28" s="156">
        <f>Expenditure!O136</f>
        <v>173301.50381479197</v>
      </c>
      <c r="P28" s="156">
        <f>Expenditure!P136</f>
        <v>19595.164709671957</v>
      </c>
      <c r="Q28" s="156">
        <f>Expenditure!Q136</f>
        <v>293927.47064507939</v>
      </c>
      <c r="R28" s="156">
        <f>Expenditure!R136</f>
        <v>333117.80006442341</v>
      </c>
      <c r="S28" s="156">
        <f>Expenditure!S136</f>
        <v>2253443.9416122753</v>
      </c>
      <c r="T28" s="156">
        <f>Expenditure!T136</f>
        <v>333117.80006442341</v>
      </c>
      <c r="U28" s="156">
        <f>Expenditure!U136</f>
        <v>117570.98825803179</v>
      </c>
      <c r="V28" s="156">
        <f>Expenditure!V136</f>
        <v>215546.81180639158</v>
      </c>
      <c r="W28" s="156">
        <f>Expenditure!W136</f>
        <v>176356.48238704764</v>
      </c>
      <c r="X28" s="156">
        <f>Expenditure!X136</f>
        <v>1058138.8943222859</v>
      </c>
      <c r="Y28" s="156">
        <f>Expenditure!Y136</f>
        <v>0</v>
      </c>
      <c r="Z28" s="156">
        <f>Expenditure!Z136</f>
        <v>0</v>
      </c>
      <c r="AA28" s="156">
        <f>Expenditure!AA136</f>
        <v>215546.81180639158</v>
      </c>
      <c r="AB28" s="156">
        <f>Expenditure!AB136</f>
        <v>156761.31767737566</v>
      </c>
      <c r="AC28" s="156">
        <f>Expenditure!AC136</f>
        <v>862187.2472255663</v>
      </c>
      <c r="AD28" s="156">
        <f>Expenditure!AD136</f>
        <v>391903.29419343924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300000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3359999.9999999995</v>
      </c>
      <c r="K29" s="152">
        <f>Expenditure!K137</f>
        <v>2096961.0897131744</v>
      </c>
      <c r="L29" s="152">
        <f>Expenditure!L137</f>
        <v>845880.79765735311</v>
      </c>
      <c r="M29" s="152">
        <f>Expenditure!M137</f>
        <v>1252250.8501766217</v>
      </c>
      <c r="N29" s="152">
        <f>Expenditure!N137</f>
        <v>1423445.2804363281</v>
      </c>
      <c r="O29" s="152">
        <f>Expenditure!O137</f>
        <v>226698.49618520803</v>
      </c>
      <c r="P29" s="152">
        <f>Expenditure!P137</f>
        <v>25632.751444162208</v>
      </c>
      <c r="Q29" s="152">
        <f>Expenditure!Q137</f>
        <v>384491.27166243322</v>
      </c>
      <c r="R29" s="152">
        <f>Expenditure!R137</f>
        <v>435756.77455075772</v>
      </c>
      <c r="S29" s="152">
        <f>Expenditure!S137</f>
        <v>2947766.416078655</v>
      </c>
      <c r="T29" s="152">
        <f>Expenditure!T137</f>
        <v>435756.77455075772</v>
      </c>
      <c r="U29" s="152">
        <f>Expenditure!U137</f>
        <v>153796.50866497331</v>
      </c>
      <c r="V29" s="152">
        <f>Expenditure!V137</f>
        <v>281960.26588578435</v>
      </c>
      <c r="W29" s="152">
        <f>Expenditure!W137</f>
        <v>230694.76299745991</v>
      </c>
      <c r="X29" s="152">
        <f>Expenditure!X137</f>
        <v>1384168.5779847596</v>
      </c>
      <c r="Y29" s="152">
        <f>Expenditure!Y137</f>
        <v>0</v>
      </c>
      <c r="Z29" s="152">
        <f>Expenditure!Z137</f>
        <v>0</v>
      </c>
      <c r="AA29" s="152">
        <f>Expenditure!AA137</f>
        <v>281960.26588578435</v>
      </c>
      <c r="AB29" s="152">
        <f>Expenditure!AB137</f>
        <v>205062.01155329769</v>
      </c>
      <c r="AC29" s="152">
        <f>Expenditure!AC137</f>
        <v>1127841.0635431374</v>
      </c>
      <c r="AD29" s="152">
        <f>Expenditure!AD137</f>
        <v>512655.02888324432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4300000</v>
      </c>
      <c r="L30" s="152">
        <f>Expenditure!L138</f>
        <v>246001.85655916849</v>
      </c>
      <c r="M30" s="152">
        <f>Expenditure!M138</f>
        <v>485090.79657217162</v>
      </c>
      <c r="N30" s="152">
        <f>Expenditure!N138</f>
        <v>1116183.4497035115</v>
      </c>
      <c r="O30" s="152">
        <f>Expenditure!O138</f>
        <v>0</v>
      </c>
      <c r="P30" s="152">
        <f>Expenditure!P138</f>
        <v>7454.601713914195</v>
      </c>
      <c r="Q30" s="152">
        <f>Expenditure!Q138</f>
        <v>111819.02570871296</v>
      </c>
      <c r="R30" s="152">
        <f>Expenditure!R138</f>
        <v>126728.22913654137</v>
      </c>
      <c r="S30" s="152">
        <f>Expenditure!S138</f>
        <v>857279.19710013259</v>
      </c>
      <c r="T30" s="152">
        <f>Expenditure!T138</f>
        <v>126728.22913654137</v>
      </c>
      <c r="U30" s="152">
        <f>Expenditure!U138</f>
        <v>44727.610283485192</v>
      </c>
      <c r="V30" s="152">
        <f>Expenditure!V138</f>
        <v>82000.618853056163</v>
      </c>
      <c r="W30" s="152">
        <f>Expenditure!W138</f>
        <v>67091.415425227766</v>
      </c>
      <c r="X30" s="152">
        <f>Expenditure!X138</f>
        <v>402548.49255136662</v>
      </c>
      <c r="Y30" s="152">
        <f>Expenditure!Y138</f>
        <v>0</v>
      </c>
      <c r="Z30" s="152">
        <f>Expenditure!Z138</f>
        <v>0</v>
      </c>
      <c r="AA30" s="152">
        <f>Expenditure!AA138</f>
        <v>82000.618853056163</v>
      </c>
      <c r="AB30" s="152">
        <f>Expenditure!AB138</f>
        <v>59636.813711313567</v>
      </c>
      <c r="AC30" s="152">
        <f>Expenditure!AC138</f>
        <v>328002.47541222465</v>
      </c>
      <c r="AD30" s="152">
        <f>Expenditure!AD138</f>
        <v>149092.03427828394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889999.99999999988</v>
      </c>
      <c r="K31" s="152">
        <f>Expenditure!K139</f>
        <v>12500000</v>
      </c>
      <c r="L31" s="152">
        <f>Expenditure!L139</f>
        <v>1153811.0297950539</v>
      </c>
      <c r="M31" s="152">
        <f>Expenditure!M139</f>
        <v>1830072.0588002997</v>
      </c>
      <c r="N31" s="152">
        <f>Expenditure!N139</f>
        <v>1913955.1473956532</v>
      </c>
      <c r="O31" s="152">
        <f>Expenditure!O139</f>
        <v>2000000</v>
      </c>
      <c r="P31" s="152">
        <f>Expenditure!P139</f>
        <v>34963.970599850109</v>
      </c>
      <c r="Q31" s="152">
        <f>Expenditure!Q139</f>
        <v>524459.5589977518</v>
      </c>
      <c r="R31" s="152">
        <f>Expenditure!R139</f>
        <v>594387.50019745214</v>
      </c>
      <c r="S31" s="152">
        <f>Expenditure!S139</f>
        <v>4020856.6189827635</v>
      </c>
      <c r="T31" s="152">
        <f>Expenditure!T139</f>
        <v>594387.50019745214</v>
      </c>
      <c r="U31" s="152">
        <f>Expenditure!U139</f>
        <v>209783.82359910075</v>
      </c>
      <c r="V31" s="152">
        <f>Expenditure!V139</f>
        <v>384603.67659835133</v>
      </c>
      <c r="W31" s="152">
        <f>Expenditure!W139</f>
        <v>314675.73539865104</v>
      </c>
      <c r="X31" s="152">
        <f>Expenditure!X139</f>
        <v>1888054.4123919064</v>
      </c>
      <c r="Y31" s="152">
        <f>Expenditure!Y139</f>
        <v>0</v>
      </c>
      <c r="Z31" s="152">
        <f>Expenditure!Z139</f>
        <v>0</v>
      </c>
      <c r="AA31" s="152">
        <f>Expenditure!AA139</f>
        <v>384603.67659835133</v>
      </c>
      <c r="AB31" s="152">
        <f>Expenditure!AB139</f>
        <v>279711.76479880093</v>
      </c>
      <c r="AC31" s="152">
        <f>Expenditure!AC139</f>
        <v>1538414.7063934053</v>
      </c>
      <c r="AD31" s="152">
        <f>Expenditure!AD139</f>
        <v>699279.41199700243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5650000</v>
      </c>
      <c r="K32" s="162">
        <f>Expenditure!K140</f>
        <v>7800000.0000000009</v>
      </c>
      <c r="L32" s="162">
        <f>Expenditure!L140</f>
        <v>407665.88056924957</v>
      </c>
      <c r="M32" s="162">
        <f>Expenditure!M140</f>
        <v>475292.97693519702</v>
      </c>
      <c r="N32" s="162">
        <f>Expenditure!N140</f>
        <v>1158251.8344396434</v>
      </c>
      <c r="O32" s="162">
        <f>Expenditure!O140</f>
        <v>200000</v>
      </c>
      <c r="P32" s="162">
        <f>Expenditure!P140</f>
        <v>12353.511532401499</v>
      </c>
      <c r="Q32" s="162">
        <f>Expenditure!Q140</f>
        <v>185302.67298602255</v>
      </c>
      <c r="R32" s="162">
        <f>Expenditure!R140</f>
        <v>210009.69605082556</v>
      </c>
      <c r="S32" s="162">
        <f>Expenditure!S140</f>
        <v>1420653.8262261727</v>
      </c>
      <c r="T32" s="162">
        <f>Expenditure!T140</f>
        <v>210009.69605082556</v>
      </c>
      <c r="U32" s="162">
        <f>Expenditure!U140</f>
        <v>74121.069194409036</v>
      </c>
      <c r="V32" s="162">
        <f>Expenditure!V140</f>
        <v>135888.62685641652</v>
      </c>
      <c r="W32" s="162">
        <f>Expenditure!W140</f>
        <v>111181.60379161351</v>
      </c>
      <c r="X32" s="162">
        <f>Expenditure!X140</f>
        <v>667089.62274968112</v>
      </c>
      <c r="Y32" s="162">
        <f>Expenditure!Y140</f>
        <v>0</v>
      </c>
      <c r="Z32" s="162">
        <f>Expenditure!Z140</f>
        <v>0</v>
      </c>
      <c r="AA32" s="162">
        <f>Expenditure!AA140</f>
        <v>135888.62685641652</v>
      </c>
      <c r="AB32" s="162">
        <f>Expenditure!AB140</f>
        <v>98828.092259212004</v>
      </c>
      <c r="AC32" s="162">
        <f>Expenditure!AC140</f>
        <v>543554.50742566609</v>
      </c>
      <c r="AD32" s="162">
        <f>Expenditure!AD140</f>
        <v>247070.23064803006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554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5316103.1537194792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6561645.5519817919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2487530.0234796316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10315884.676266814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4639876.5945522841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29321040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25">
      <c r="A50" s="73"/>
      <c r="B50" s="73"/>
      <c r="C50" s="73"/>
      <c r="D50" s="73"/>
      <c r="E50" s="115" t="s">
        <v>488</v>
      </c>
      <c r="F50" s="73"/>
      <c r="G50" s="115" t="s">
        <v>471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555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5540458.2637020731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6855128.0949773602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2572881.5891429796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10716205.142340045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3636366.909837544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528</v>
      </c>
      <c r="F59" s="73"/>
      <c r="G59" s="115" t="str">
        <f>Expenditure!G$19</f>
        <v>£ per year</v>
      </c>
      <c r="H59" s="130">
        <f>SUM(H53:H57)</f>
        <v>29321040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25">
      <c r="A60" s="73"/>
      <c r="B60" s="73"/>
      <c r="C60" s="73"/>
      <c r="D60" s="73"/>
      <c r="E60" s="115" t="s">
        <v>529</v>
      </c>
      <c r="F60" s="73"/>
      <c r="G60" s="115" t="s">
        <v>471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73"/>
      <c r="D62" s="73"/>
      <c r="E62" s="115" t="s">
        <v>275</v>
      </c>
      <c r="F62" s="73"/>
      <c r="G62" s="115" t="s">
        <v>231</v>
      </c>
      <c r="H62" s="136">
        <f>IF(H49 = H59, 0, 1)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1"/>
      <c r="C64" s="110" t="s">
        <v>643</v>
      </c>
      <c r="D64" s="110"/>
      <c r="E64" s="110"/>
      <c r="F64" s="110"/>
      <c r="G64" s="11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0"/>
      <c r="AT64" s="42"/>
    </row>
    <row r="65" spans="1:46" x14ac:dyDescent="0.25">
      <c r="A65" s="73"/>
      <c r="B65" s="73"/>
      <c r="C65" s="109"/>
      <c r="D65" s="109"/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115"/>
      <c r="B66" s="73"/>
      <c r="C66" s="73"/>
      <c r="D66" s="109"/>
      <c r="E66" s="112" t="s">
        <v>274</v>
      </c>
      <c r="F66" s="73"/>
      <c r="G66" s="73"/>
      <c r="H66" s="74"/>
      <c r="I66" s="132" t="s">
        <v>314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115" t="s">
        <v>575</v>
      </c>
      <c r="AT66" s="42"/>
    </row>
    <row r="67" spans="1:46" x14ac:dyDescent="0.25">
      <c r="A67" s="73"/>
      <c r="B67" s="73"/>
      <c r="C67" s="73"/>
      <c r="D67" s="73"/>
      <c r="E67" s="73"/>
      <c r="F67" s="113" t="s">
        <v>287</v>
      </c>
      <c r="G67" s="113" t="s">
        <v>44</v>
      </c>
      <c r="H67" s="153">
        <f>IF(H$50, H43 / H$49, 0)</f>
        <v>0.18130677335181422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74"/>
      <c r="AS67" s="73"/>
      <c r="AT67" s="42"/>
    </row>
    <row r="68" spans="1:46" x14ac:dyDescent="0.25">
      <c r="A68" s="73"/>
      <c r="B68" s="73"/>
      <c r="C68" s="73"/>
      <c r="D68" s="73"/>
      <c r="E68" s="73"/>
      <c r="F68" s="115" t="s">
        <v>288</v>
      </c>
      <c r="G68" s="115" t="s">
        <v>44</v>
      </c>
      <c r="H68" s="154">
        <f>IF(H$50, H44 / H$49, 0)</f>
        <v>0.22378624878182329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289</v>
      </c>
      <c r="G69" s="115" t="s">
        <v>44</v>
      </c>
      <c r="H69" s="154">
        <f>IF(H$50, H45 / H$49, 0)</f>
        <v>8.4837714606290623E-2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290</v>
      </c>
      <c r="G70" s="115" t="s">
        <v>44</v>
      </c>
      <c r="H70" s="154">
        <f>IF(H$50, H46 / H$49, 0)</f>
        <v>0.35182533348976752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7" t="s">
        <v>291</v>
      </c>
      <c r="G71" s="117" t="s">
        <v>44</v>
      </c>
      <c r="H71" s="155">
        <f>IF(H$50, H47 / H$49, 0)</f>
        <v>0.15824392977030433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73"/>
      <c r="E73" s="115" t="s">
        <v>239</v>
      </c>
      <c r="F73" s="73"/>
      <c r="G73" s="115" t="s">
        <v>231</v>
      </c>
      <c r="H73" s="136">
        <f>IF(SUM(H67:H71)= 1, 0, 1)</f>
        <v>0</v>
      </c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74"/>
      <c r="AS73" s="73"/>
      <c r="AT73" s="42"/>
    </row>
    <row r="74" spans="1:46" x14ac:dyDescent="0.25">
      <c r="A74" s="73"/>
      <c r="B74" s="73"/>
      <c r="C74" s="73"/>
      <c r="D74" s="73"/>
      <c r="E74" s="109"/>
      <c r="F74" s="73"/>
      <c r="G74" s="73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3"/>
      <c r="AT74" s="42"/>
    </row>
    <row r="75" spans="1:46" x14ac:dyDescent="0.25">
      <c r="A75" s="115"/>
      <c r="B75" s="73"/>
      <c r="C75" s="73"/>
      <c r="D75" s="73"/>
      <c r="E75" s="112" t="s">
        <v>266</v>
      </c>
      <c r="F75" s="73"/>
      <c r="G75" s="73"/>
      <c r="H75" s="74"/>
      <c r="I75" s="132" t="s">
        <v>314</v>
      </c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115" t="s">
        <v>575</v>
      </c>
      <c r="AT75" s="42"/>
    </row>
    <row r="76" spans="1:46" x14ac:dyDescent="0.25">
      <c r="A76" s="73"/>
      <c r="B76" s="73"/>
      <c r="C76" s="73"/>
      <c r="D76" s="73"/>
      <c r="E76" s="73"/>
      <c r="F76" s="113" t="s">
        <v>282</v>
      </c>
      <c r="G76" s="113" t="s">
        <v>44</v>
      </c>
      <c r="H76" s="153">
        <f>IF(H$60, H53 / H$59, 0)</f>
        <v>0.18895844975833304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">
        <v>283</v>
      </c>
      <c r="G77" s="115" t="s">
        <v>44</v>
      </c>
      <c r="H77" s="154">
        <f>IF(H$60, H54 / H$59, 0)</f>
        <v>0.23379553027373381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284</v>
      </c>
      <c r="G78" s="115" t="s">
        <v>44</v>
      </c>
      <c r="H78" s="154">
        <f>IF(H$60, H55 / H$59, 0)</f>
        <v>8.7748647017397055E-2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285</v>
      </c>
      <c r="G79" s="115" t="s">
        <v>44</v>
      </c>
      <c r="H79" s="154">
        <f>IF(H$60, H56 / H$59, 0)</f>
        <v>0.36547834395846962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7" t="s">
        <v>286</v>
      </c>
      <c r="G80" s="117" t="s">
        <v>44</v>
      </c>
      <c r="H80" s="155">
        <f>IF(H$60, H57 / H$59, 0)</f>
        <v>0.12401902899206659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3"/>
      <c r="AT81" s="42"/>
    </row>
    <row r="82" spans="1:46" x14ac:dyDescent="0.25">
      <c r="A82" s="73"/>
      <c r="B82" s="73"/>
      <c r="C82" s="73"/>
      <c r="D82" s="73"/>
      <c r="E82" s="115" t="s">
        <v>239</v>
      </c>
      <c r="F82" s="73"/>
      <c r="G82" s="115" t="s">
        <v>231</v>
      </c>
      <c r="H82" s="136">
        <f>IF(SUM(H76:H80)= 1, 0, 1)</f>
        <v>0</v>
      </c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74"/>
      <c r="AS82" s="73"/>
      <c r="AT82" s="42"/>
    </row>
    <row r="83" spans="1:46" x14ac:dyDescent="0.25">
      <c r="A83" s="73"/>
      <c r="B83" s="73"/>
      <c r="C83" s="73"/>
      <c r="D83" s="73"/>
      <c r="E83" s="109"/>
      <c r="F83" s="73"/>
      <c r="G83" s="7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3"/>
      <c r="AT83" s="42"/>
    </row>
    <row r="84" spans="1:46" x14ac:dyDescent="0.25">
      <c r="A84" s="73"/>
      <c r="B84" s="107" t="s">
        <v>242</v>
      </c>
      <c r="C84" s="107"/>
      <c r="D84" s="107"/>
      <c r="E84" s="107"/>
      <c r="F84" s="107"/>
      <c r="G84" s="107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7"/>
      <c r="AT84" s="42"/>
    </row>
    <row r="85" spans="1:46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3"/>
      <c r="AT85" s="42"/>
    </row>
    <row r="86" spans="1:46" x14ac:dyDescent="0.25">
      <c r="A86" s="73"/>
      <c r="B86" s="73"/>
      <c r="C86" s="109"/>
      <c r="D86" s="109"/>
      <c r="E86" s="115" t="s">
        <v>232</v>
      </c>
      <c r="F86" s="73"/>
      <c r="G86" s="115" t="s">
        <v>231</v>
      </c>
      <c r="H86" s="159">
        <f>H62 + H73 + H82</f>
        <v>0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74"/>
      <c r="AS86" s="73"/>
      <c r="AT86" s="42"/>
    </row>
    <row r="87" spans="1:46" x14ac:dyDescent="0.25">
      <c r="A87" s="73"/>
      <c r="B87" s="73"/>
      <c r="C87" s="73"/>
      <c r="D87" s="73"/>
      <c r="E87" s="109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3"/>
      <c r="AT87" s="42"/>
    </row>
    <row r="88" spans="1:46" x14ac:dyDescent="0.25">
      <c r="A88" s="73"/>
      <c r="B88" s="107" t="s">
        <v>30</v>
      </c>
      <c r="C88" s="107"/>
      <c r="D88" s="107"/>
      <c r="E88" s="107"/>
      <c r="F88" s="107"/>
      <c r="G88" s="107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7"/>
      <c r="AT88" s="42"/>
    </row>
  </sheetData>
  <sheetProtection sheet="1" objects="1" formatCells="0" formatColumns="0" formatRows="0" sort="0" autoFilter="0"/>
  <conditionalFormatting sqref="H62">
    <cfRule type="cellIs" dxfId="24" priority="3" stopIfTrue="1" operator="greaterThan">
      <formula>0</formula>
    </cfRule>
  </conditionalFormatting>
  <conditionalFormatting sqref="H73">
    <cfRule type="cellIs" dxfId="23" priority="4" stopIfTrue="1" operator="greaterThan">
      <formula>0</formula>
    </cfRule>
  </conditionalFormatting>
  <conditionalFormatting sqref="H82">
    <cfRule type="cellIs" dxfId="22" priority="5" stopIfTrue="1" operator="greaterThan">
      <formula>0</formula>
    </cfRule>
  </conditionalFormatting>
  <conditionalFormatting sqref="H86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3eda9f60ba35fa792978f47f221bc710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8ab4db3f37c2fb55e352b75920aaf867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39</DocumentCategory>
    <DateLastActivated1 xmlns="c7312139-f4c2-453d-a4c8-c631b6303d87">2018-10-18T12:49:43+00:00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2018-10-15T23:00:00+00:00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v3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E019F-EB8E-4761-864A-CFD2C4783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3231A7-B9AC-4D31-ADB8-3B4FE835883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4086A6F-3AC5-491A-84FE-7E3CBBBDAD6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c7312139-f4c2-453d-a4c8-c631b6303d87"/>
    <ds:schemaRef ds:uri="http://purl.org/dc/dcmitype/"/>
    <ds:schemaRef ds:uri="830862f3-40c2-43d5-9778-1909aaa95bc7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5BDF1FF-06AA-4DFC-8CB1-75144B86E2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PCDM_v3_20181016</dc:title>
  <dc:subject/>
  <dc:creator/>
  <cp:keywords/>
  <dc:description/>
  <cp:lastModifiedBy/>
  <dcterms:created xsi:type="dcterms:W3CDTF">2018-05-04T11:23:25Z</dcterms:created>
  <dcterms:modified xsi:type="dcterms:W3CDTF">2018-12-25T15:59:26Z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