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defaultThemeVersion="166925"/>
  <mc:AlternateContent xmlns:mc="http://schemas.openxmlformats.org/markup-compatibility/2006">
    <mc:Choice Requires="x15">
      <x15ac:absPath xmlns:x15ac="http://schemas.microsoft.com/office/spreadsheetml/2010/11/ac" url="https://ssecom.sharepoint.com/teams/PSCSNS/Shared Documents/General/PSCSNS - Migration/Tariffs/2022_23/Final/V1.1 22-23 SCOT &amp; LC14 update_Jan 22/LRSP Updates/Plan A/"/>
    </mc:Choice>
  </mc:AlternateContent>
  <xr:revisionPtr revIDLastSave="292" documentId="14_{4363ADCD-AE8D-4440-AEC5-B8F89856BA3C}" xr6:coauthVersionLast="45" xr6:coauthVersionMax="45" xr10:uidLastSave="{D2D86CAA-EC95-40FD-91EF-83D61723CF12}"/>
  <workbookProtection lockStructure="1"/>
  <bookViews>
    <workbookView xWindow="-110" yWindow="-110" windowWidth="19420" windowHeight="10420" tabRatio="933"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BM">'General inputs'!$G$23:$N$23</definedName>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ICE">'General inputs'!$G$259:$N$259</definedName>
    <definedName name="IQ">'General inputs'!$G$136:$N$136</definedName>
    <definedName name="LDR">'General inputs'!$G$326:$N$326</definedName>
    <definedName name="PowerFactor" comment="Power factor, equal to 0.95">'Fixed inputs'!$H$37</definedName>
    <definedName name="ten" comment="Equal to 10">'Fixed inputs'!$H$16</definedName>
    <definedName name="thousand" comment="Equal to 1000">'Fixed inputs'!$H$18</definedName>
    <definedName name="TTC">'General inputs'!$G$268:$N$268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3" i="89" l="1"/>
  <c r="AO54" i="65" l="1"/>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U111" i="22"/>
  <c r="T111" i="22"/>
  <c r="R111" i="22"/>
  <c r="P111" i="22"/>
  <c r="P607" i="22" s="1"/>
  <c r="AB39" i="105" s="1"/>
  <c r="O111" i="22"/>
  <c r="O607" i="22" s="1"/>
  <c r="W39" i="105" s="1"/>
  <c r="N111" i="22"/>
  <c r="N607" i="22" s="1"/>
  <c r="R39" i="105" s="1"/>
  <c r="M111" i="22"/>
  <c r="L111" i="22"/>
  <c r="L607" i="22" s="1"/>
  <c r="L39" i="105" s="1"/>
  <c r="K111" i="22"/>
  <c r="U110" i="22"/>
  <c r="T110" i="22"/>
  <c r="R110" i="22"/>
  <c r="P110" i="22"/>
  <c r="P601" i="22" s="1"/>
  <c r="AB38" i="105" s="1"/>
  <c r="O110" i="22"/>
  <c r="O601" i="22" s="1"/>
  <c r="W38" i="105" s="1"/>
  <c r="N110" i="22"/>
  <c r="N601" i="22" s="1"/>
  <c r="R38" i="105" s="1"/>
  <c r="M110" i="22"/>
  <c r="L110" i="22"/>
  <c r="L601" i="22" s="1"/>
  <c r="L38" i="105" s="1"/>
  <c r="K110" i="22"/>
  <c r="U109" i="22"/>
  <c r="T109" i="22"/>
  <c r="R109" i="22"/>
  <c r="P109" i="22"/>
  <c r="P595" i="22" s="1"/>
  <c r="AB37" i="105" s="1"/>
  <c r="O109" i="22"/>
  <c r="O595" i="22" s="1"/>
  <c r="W37" i="105" s="1"/>
  <c r="N109" i="22"/>
  <c r="N595" i="22" s="1"/>
  <c r="R37" i="105" s="1"/>
  <c r="M109" i="22"/>
  <c r="L109" i="22"/>
  <c r="L595" i="22" s="1"/>
  <c r="L37" i="105" s="1"/>
  <c r="K109" i="22"/>
  <c r="U108" i="22"/>
  <c r="T108" i="22"/>
  <c r="R108" i="22"/>
  <c r="P108" i="22"/>
  <c r="P589" i="22" s="1"/>
  <c r="O108" i="22"/>
  <c r="O589" i="22" s="1"/>
  <c r="N108" i="22"/>
  <c r="N589" i="22" s="1"/>
  <c r="M108" i="22"/>
  <c r="L108" i="22"/>
  <c r="L589" i="22" s="1"/>
  <c r="K108" i="22"/>
  <c r="U107" i="22"/>
  <c r="T107" i="22"/>
  <c r="R107" i="22"/>
  <c r="P107" i="22"/>
  <c r="P583" i="22" s="1"/>
  <c r="AB35" i="105" s="1"/>
  <c r="O107" i="22"/>
  <c r="O583" i="22" s="1"/>
  <c r="W35" i="105" s="1"/>
  <c r="N107" i="22"/>
  <c r="N583" i="22" s="1"/>
  <c r="R35" i="105" s="1"/>
  <c r="M107" i="22"/>
  <c r="L107" i="22"/>
  <c r="L583" i="22" s="1"/>
  <c r="L35" i="105" s="1"/>
  <c r="K107" i="22"/>
  <c r="U106" i="22"/>
  <c r="T106" i="22"/>
  <c r="R106" i="22"/>
  <c r="P106" i="22"/>
  <c r="P577" i="22" s="1"/>
  <c r="AB34" i="105" s="1"/>
  <c r="O106" i="22"/>
  <c r="O577" i="22" s="1"/>
  <c r="W34" i="105" s="1"/>
  <c r="N106" i="22"/>
  <c r="N577" i="22" s="1"/>
  <c r="R34" i="105" s="1"/>
  <c r="M106" i="22"/>
  <c r="L106" i="22"/>
  <c r="L577" i="22" s="1"/>
  <c r="L34" i="105" s="1"/>
  <c r="K106" i="22"/>
  <c r="U105"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R174" i="105" l="1"/>
  <c r="W174" i="105"/>
  <c r="L174" i="105"/>
  <c r="L47" i="105"/>
  <c r="L142" i="105" s="1"/>
  <c r="AC36" i="105"/>
  <c r="AC141" i="105" s="1"/>
  <c r="AB174" i="105"/>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6" i="105"/>
  <c r="W63" i="82" s="1"/>
  <c r="L146" i="105"/>
  <c r="L63" i="82" s="1"/>
  <c r="W148" i="105"/>
  <c r="R146" i="105"/>
  <c r="R63" i="82" s="1"/>
  <c r="L147" i="105"/>
  <c r="AB147" i="105"/>
  <c r="R148" i="105"/>
  <c r="W147" i="105"/>
  <c r="S170" i="105"/>
  <c r="N170" i="105"/>
  <c r="O170" i="105"/>
  <c r="P170" i="105"/>
  <c r="AC170" i="105"/>
  <c r="T170" i="105"/>
  <c r="U170" i="105"/>
  <c r="V170" i="105"/>
  <c r="AB146" i="105"/>
  <c r="AB63" i="82" s="1"/>
  <c r="R140" i="105"/>
  <c r="R196" i="105"/>
  <c r="R197" i="105"/>
  <c r="R193" i="105"/>
  <c r="R187" i="105"/>
  <c r="R185" i="105"/>
  <c r="R183" i="105"/>
  <c r="R198" i="105"/>
  <c r="R194" i="105"/>
  <c r="R199" i="105"/>
  <c r="R195" i="105"/>
  <c r="R188" i="105"/>
  <c r="R186" i="105"/>
  <c r="R184" i="105"/>
  <c r="R182"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99" i="105"/>
  <c r="L195" i="105"/>
  <c r="L188" i="105"/>
  <c r="L186" i="105"/>
  <c r="L184" i="105"/>
  <c r="L182" i="105"/>
  <c r="L140" i="105"/>
  <c r="L196" i="105"/>
  <c r="L197" i="105"/>
  <c r="L193" i="105"/>
  <c r="L187" i="105"/>
  <c r="L185" i="105"/>
  <c r="L183" i="105"/>
  <c r="L198" i="105"/>
  <c r="L194" i="105"/>
  <c r="L170" i="105"/>
  <c r="AB198" i="105"/>
  <c r="AB194" i="105"/>
  <c r="AB199" i="105"/>
  <c r="AB195" i="105"/>
  <c r="AB188" i="105"/>
  <c r="AB186" i="105"/>
  <c r="AB184" i="105"/>
  <c r="AB182" i="105"/>
  <c r="AB140" i="105"/>
  <c r="AB196" i="105"/>
  <c r="AB197" i="105"/>
  <c r="AB193"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AH141" i="105" s="1"/>
  <c r="W207" i="105"/>
  <c r="W74" i="82" s="1"/>
  <c r="W206" i="105"/>
  <c r="Y172" i="105"/>
  <c r="Y64" i="82" s="1"/>
  <c r="R206" i="105"/>
  <c r="R73" i="82" s="1"/>
  <c r="R207" i="105"/>
  <c r="R74" i="82" s="1"/>
  <c r="N172" i="105"/>
  <c r="N64" i="82" s="1"/>
  <c r="Q36" i="105"/>
  <c r="Q141" i="105" s="1"/>
  <c r="AO36" i="105"/>
  <c r="AO141" i="105" s="1"/>
  <c r="AO174" i="105"/>
  <c r="AL47" i="105"/>
  <c r="AL142" i="105" s="1"/>
  <c r="AO47" i="105"/>
  <c r="AO142" i="105" s="1"/>
  <c r="R172" i="105"/>
  <c r="R64" i="82" s="1"/>
  <c r="S172" i="105"/>
  <c r="S64" i="82" s="1"/>
  <c r="AN47" i="105"/>
  <c r="AN142" i="105" s="1"/>
  <c r="X26" i="105"/>
  <c r="X170" i="105" s="1"/>
  <c r="AK36" i="105"/>
  <c r="AK141" i="105" s="1"/>
  <c r="AK174" i="105"/>
  <c r="AH47" i="105"/>
  <c r="AH142" i="105" s="1"/>
  <c r="AN36" i="105"/>
  <c r="AN141" i="105" s="1"/>
  <c r="AK47" i="105"/>
  <c r="AK142" i="105" s="1"/>
  <c r="AB172" i="105"/>
  <c r="AB64" i="82" s="1"/>
  <c r="L172" i="105"/>
  <c r="L64" i="82" s="1"/>
  <c r="AF172" i="105"/>
  <c r="AF64" i="82" s="1"/>
  <c r="U172" i="105"/>
  <c r="U64" i="82" s="1"/>
  <c r="L207" i="105"/>
  <c r="L74" i="82" s="1"/>
  <c r="L206" i="105"/>
  <c r="L73" i="82" s="1"/>
  <c r="AE172" i="105"/>
  <c r="AE64" i="82" s="1"/>
  <c r="T172" i="105"/>
  <c r="T64" i="82" s="1"/>
  <c r="AJ47" i="105"/>
  <c r="AJ142" i="105" s="1"/>
  <c r="AL36" i="105"/>
  <c r="AL141" i="105" s="1"/>
  <c r="X36" i="105"/>
  <c r="X141" i="105" s="1"/>
  <c r="AM47" i="105"/>
  <c r="AM142" i="105" s="1"/>
  <c r="Q47" i="105"/>
  <c r="Q142" i="105" s="1"/>
  <c r="AM36" i="105"/>
  <c r="AM141" i="105" s="1"/>
  <c r="AM174" i="105"/>
  <c r="AD172" i="105"/>
  <c r="AD64" i="82" s="1"/>
  <c r="AC172" i="105"/>
  <c r="AC64" i="82" s="1"/>
  <c r="AB207" i="105"/>
  <c r="AB74" i="82" s="1"/>
  <c r="AB206" i="105"/>
  <c r="W172" i="105"/>
  <c r="W64" i="82" s="1"/>
  <c r="AA172" i="105"/>
  <c r="AA64" i="82" s="1"/>
  <c r="P172" i="105"/>
  <c r="P64" i="82" s="1"/>
  <c r="V172" i="105"/>
  <c r="V64" i="82" s="1"/>
  <c r="AI47" i="105"/>
  <c r="AI142" i="105" s="1"/>
  <c r="K36" i="105"/>
  <c r="K141" i="105" s="1"/>
  <c r="AI36" i="105"/>
  <c r="AI141" i="105" s="1"/>
  <c r="Z172" i="105"/>
  <c r="Z64" i="82" s="1"/>
  <c r="O172" i="105"/>
  <c r="O64" i="82" s="1"/>
  <c r="AC147" i="105"/>
  <c r="K170" i="105"/>
  <c r="Q170" i="105"/>
  <c r="K147" i="105"/>
  <c r="AG170" i="105"/>
  <c r="M170" i="105"/>
  <c r="AB200" i="105"/>
  <c r="L189"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L62" i="82"/>
  <c r="W189" i="105"/>
  <c r="R189" i="105"/>
  <c r="AN170" i="105"/>
  <c r="AJ170" i="105"/>
  <c r="AK148" i="105"/>
  <c r="AL147" i="105"/>
  <c r="Q147" i="105"/>
  <c r="AH170" i="105"/>
  <c r="AI148" i="105"/>
  <c r="AK147" i="105"/>
  <c r="L200" i="105"/>
  <c r="AH148"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B62" i="82"/>
  <c r="R62" i="82"/>
  <c r="AO148" i="105"/>
  <c r="AH147" i="105"/>
  <c r="AL170" i="105"/>
  <c r="AM148" i="105"/>
  <c r="AO147" i="105"/>
  <c r="AB189" i="105"/>
  <c r="W62" i="82"/>
  <c r="W200" i="105"/>
  <c r="R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X172" i="105" l="1"/>
  <c r="X64" i="82" s="1"/>
  <c r="M172" i="105"/>
  <c r="M64" i="82" s="1"/>
  <c r="AN172" i="105"/>
  <c r="AL64" i="82" s="1"/>
  <c r="AK207" i="105"/>
  <c r="AK206" i="105"/>
  <c r="AG172" i="105"/>
  <c r="AG64" i="82" s="1"/>
  <c r="AL172" i="105"/>
  <c r="AK64" i="82" s="1"/>
  <c r="Q172" i="105"/>
  <c r="Q64" i="82" s="1"/>
  <c r="AJ172" i="105"/>
  <c r="AJ64" i="82" s="1"/>
  <c r="K172" i="105"/>
  <c r="K64" i="82" s="1"/>
  <c r="AI172" i="105"/>
  <c r="AI64" i="82" s="1"/>
  <c r="AH172" i="105"/>
  <c r="AH64"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X23" i="112"/>
  <c r="W23" i="112"/>
  <c r="V23" i="112"/>
  <c r="U23" i="112"/>
  <c r="T23" i="112"/>
  <c r="S23" i="112"/>
  <c r="R23" i="112"/>
  <c r="Q23" i="112"/>
  <c r="P23" i="112"/>
  <c r="O23" i="112"/>
  <c r="N23" i="112"/>
  <c r="M23" i="112"/>
  <c r="L23" i="112"/>
  <c r="K23" i="112"/>
  <c r="J23" i="112"/>
  <c r="H31" i="112" l="1"/>
  <c r="H30" i="112"/>
  <c r="J20" i="112" l="1"/>
  <c r="H65" i="41"/>
  <c r="H64"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V45" i="112" l="1"/>
  <c r="V37" i="112"/>
  <c r="M44" i="112"/>
  <c r="M36" i="112"/>
  <c r="U45" i="112"/>
  <c r="U37" i="112"/>
  <c r="M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Y37" i="112"/>
  <c r="Y45" i="112"/>
  <c r="P44" i="112"/>
  <c r="P36" i="112"/>
  <c r="X45" i="112"/>
  <c r="X37" i="112"/>
  <c r="P37" i="112"/>
  <c r="W44" i="112"/>
  <c r="W36" i="112"/>
  <c r="O44" i="112"/>
  <c r="O36" i="112"/>
  <c r="U36" i="112"/>
  <c r="U44" i="112"/>
  <c r="Q37" i="112"/>
  <c r="Q45" i="112"/>
  <c r="X44" i="112"/>
  <c r="X36" i="112"/>
  <c r="W45" i="112"/>
  <c r="W37" i="112"/>
  <c r="O37" i="112"/>
  <c r="V44" i="112"/>
  <c r="V36" i="112"/>
  <c r="N44" i="112"/>
  <c r="C33" i="112"/>
  <c r="G196" i="85" s="1"/>
  <c r="C48" i="112"/>
  <c r="G197" i="85" s="1"/>
  <c r="V46" i="112" l="1"/>
  <c r="U46" i="112"/>
  <c r="W46" i="112"/>
  <c r="X46" i="112"/>
  <c r="K46" i="112"/>
  <c r="Q46" i="112"/>
  <c r="R46" i="112"/>
  <c r="M46" i="112"/>
  <c r="Y46" i="112"/>
  <c r="S46" i="112"/>
  <c r="T46"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0" i="112"/>
  <c r="S50" i="112"/>
  <c r="M50" i="112"/>
  <c r="X50" i="112"/>
  <c r="R50" i="112"/>
  <c r="W50" i="112"/>
  <c r="Q50" i="112"/>
  <c r="U50" i="112"/>
  <c r="Y50" i="112"/>
  <c r="K50" i="112"/>
  <c r="V50"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54" i="22" s="1"/>
  <c r="U487" i="22" s="1"/>
  <c r="AK54" i="41" s="1"/>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X286" i="22" s="1"/>
  <c r="S248" i="22"/>
  <c r="X248" i="22"/>
  <c r="T248" i="22"/>
  <c r="W237" i="22"/>
  <c r="W236" i="22"/>
  <c r="V237" i="22"/>
  <c r="V236" i="22"/>
  <c r="L86" i="72"/>
  <c r="L117" i="71"/>
  <c r="L99" i="73"/>
  <c r="L28" i="80"/>
  <c r="Q98" i="73"/>
  <c r="Q85" i="72"/>
  <c r="Q116" i="71"/>
  <c r="Q27" i="80"/>
  <c r="X353" i="22" l="1"/>
  <c r="X481" i="22" s="1"/>
  <c r="AN53"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4" i="90"/>
  <c r="X194" i="90"/>
  <c r="Y193" i="90"/>
  <c r="X193" i="90"/>
  <c r="Y192" i="90"/>
  <c r="X192" i="90"/>
  <c r="Y191" i="90"/>
  <c r="X191" i="90"/>
  <c r="Y190" i="90"/>
  <c r="X190" i="90"/>
  <c r="Y225" i="53"/>
  <c r="X293" i="73"/>
  <c r="Y293" i="73"/>
  <c r="Y93" i="74"/>
  <c r="X93" i="74"/>
  <c r="Y91" i="74"/>
  <c r="X90" i="74"/>
  <c r="Y89" i="74"/>
  <c r="Y87" i="74"/>
  <c r="X87" i="74"/>
  <c r="X86" i="74"/>
  <c r="Y85" i="74"/>
  <c r="Y79" i="74"/>
  <c r="Y77" i="74"/>
  <c r="X77" i="74"/>
  <c r="Y75" i="74"/>
  <c r="X75" i="74"/>
  <c r="X74" i="74"/>
  <c r="Y73" i="74"/>
  <c r="X84" i="74"/>
  <c r="X72" i="74"/>
  <c r="W194" i="90"/>
  <c r="V194" i="90"/>
  <c r="W193" i="90"/>
  <c r="V193" i="90"/>
  <c r="W192" i="90"/>
  <c r="V192" i="90"/>
  <c r="W191" i="90"/>
  <c r="V191" i="90"/>
  <c r="W190" i="90"/>
  <c r="V190" i="90"/>
  <c r="V78" i="83"/>
  <c r="V226" i="53"/>
  <c r="W293" i="73"/>
  <c r="V293" i="73"/>
  <c r="V93" i="74"/>
  <c r="V91" i="74"/>
  <c r="V89" i="74"/>
  <c r="V87" i="74"/>
  <c r="V85" i="74"/>
  <c r="V79" i="74"/>
  <c r="V77" i="74"/>
  <c r="V75" i="74"/>
  <c r="V73" i="74"/>
  <c r="U194" i="90"/>
  <c r="T194" i="90"/>
  <c r="U193" i="90"/>
  <c r="T193" i="90"/>
  <c r="U192" i="90"/>
  <c r="T192" i="90"/>
  <c r="U191" i="90"/>
  <c r="T191" i="90"/>
  <c r="U190" i="90"/>
  <c r="T190" i="90"/>
  <c r="T225" i="53"/>
  <c r="U78" i="83"/>
  <c r="T78" i="83"/>
  <c r="U226" i="53"/>
  <c r="U224" i="53"/>
  <c r="T293" i="73"/>
  <c r="U293" i="73"/>
  <c r="U93" i="74"/>
  <c r="T92" i="74"/>
  <c r="U91" i="74"/>
  <c r="U89" i="74"/>
  <c r="T88" i="74"/>
  <c r="U87" i="74"/>
  <c r="U85" i="74"/>
  <c r="T84" i="74"/>
  <c r="U79" i="74"/>
  <c r="U77" i="74"/>
  <c r="T76" i="74"/>
  <c r="U75" i="74"/>
  <c r="U73" i="74"/>
  <c r="T72" i="74"/>
  <c r="S194" i="90"/>
  <c r="R194" i="90"/>
  <c r="S193" i="90"/>
  <c r="R193" i="90"/>
  <c r="S192" i="90"/>
  <c r="R192" i="90"/>
  <c r="S191" i="90"/>
  <c r="R191" i="90"/>
  <c r="S190" i="90"/>
  <c r="R190" i="90"/>
  <c r="R226" i="53"/>
  <c r="S225" i="53"/>
  <c r="S293" i="73"/>
  <c r="R293" i="73"/>
  <c r="Q194" i="90"/>
  <c r="Q193" i="90"/>
  <c r="Q192" i="90"/>
  <c r="Q191" i="90"/>
  <c r="Q190" i="90"/>
  <c r="Q78" i="83"/>
  <c r="Q27" i="76"/>
  <c r="Q157" i="74"/>
  <c r="Q156" i="74"/>
  <c r="K194" i="90"/>
  <c r="J194" i="90"/>
  <c r="K193" i="90"/>
  <c r="J193" i="90"/>
  <c r="K192" i="90"/>
  <c r="J192" i="90"/>
  <c r="K191" i="90"/>
  <c r="J191" i="90"/>
  <c r="K190" i="90"/>
  <c r="J190" i="90"/>
  <c r="J226" i="53"/>
  <c r="K225" i="53"/>
  <c r="K293" i="73"/>
  <c r="J293" i="73"/>
  <c r="M194" i="90"/>
  <c r="L194" i="90"/>
  <c r="M193" i="90"/>
  <c r="L193" i="90"/>
  <c r="M192" i="90"/>
  <c r="L192" i="90"/>
  <c r="M191" i="90"/>
  <c r="L191" i="90"/>
  <c r="M190" i="90"/>
  <c r="L190" i="90"/>
  <c r="L225" i="53"/>
  <c r="M224" i="53"/>
  <c r="L293" i="73"/>
  <c r="P194" i="90"/>
  <c r="O194" i="90"/>
  <c r="N194" i="90"/>
  <c r="P193" i="90"/>
  <c r="O193" i="90"/>
  <c r="N193" i="90"/>
  <c r="P192" i="90"/>
  <c r="O192" i="90"/>
  <c r="N192" i="90"/>
  <c r="P191" i="90"/>
  <c r="O191" i="90"/>
  <c r="N191" i="90"/>
  <c r="P190" i="90"/>
  <c r="O190" i="90"/>
  <c r="N190"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4" i="112" l="1"/>
  <c r="X60" i="112" s="1"/>
  <c r="X225" i="53"/>
  <c r="T224" i="53"/>
  <c r="Y78" i="83"/>
  <c r="V225" i="53"/>
  <c r="U225" i="53"/>
  <c r="W78" i="83"/>
  <c r="T226" i="53"/>
  <c r="Q226" i="53"/>
  <c r="W225" i="53"/>
  <c r="Y54" i="112" l="1"/>
  <c r="Y60"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3" i="89"/>
  <c r="H49" i="86"/>
  <c r="H79" i="89"/>
  <c r="H44" i="89"/>
  <c r="H45" i="89" s="1"/>
  <c r="H86" i="89"/>
  <c r="H56" i="89"/>
  <c r="H69" i="89"/>
  <c r="S70" i="31"/>
  <c r="S72" i="31"/>
  <c r="K66" i="31"/>
  <c r="R80" i="31"/>
  <c r="K70" i="31"/>
  <c r="S66" i="31"/>
  <c r="Q70" i="31"/>
  <c r="S73" i="31"/>
  <c r="Q76" i="31"/>
  <c r="Q80" i="31"/>
  <c r="A2" i="90"/>
  <c r="A1" i="90"/>
  <c r="C161"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L54" i="81"/>
  <c r="S44" i="23"/>
  <c r="M44" i="23"/>
  <c r="O44" i="23"/>
  <c r="R44" i="23"/>
  <c r="L44" i="23"/>
  <c r="H104" i="53"/>
  <c r="H136" i="53"/>
  <c r="H105" i="53"/>
  <c r="H153" i="53"/>
  <c r="H121" i="53"/>
  <c r="H145" i="53"/>
  <c r="H137" i="53"/>
  <c r="H161" i="53"/>
  <c r="H88" i="81"/>
  <c r="H87" i="81"/>
  <c r="H86" i="81"/>
  <c r="H84" i="81"/>
  <c r="J98" i="81"/>
  <c r="H187" i="90" a="1"/>
  <c r="H187" i="90" s="1"/>
  <c r="H24" i="81"/>
  <c r="H25" i="81" s="1"/>
  <c r="H121" i="81" s="1"/>
  <c r="H19" i="76" s="1"/>
  <c r="H25" i="22"/>
  <c r="H24" i="22"/>
  <c r="H23" i="22"/>
  <c r="H22" i="22"/>
  <c r="A2" i="89"/>
  <c r="A1" i="89"/>
  <c r="C89"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K29" i="31"/>
  <c r="J29" i="31"/>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C147" i="65" l="1"/>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R54" i="112"/>
  <c r="R60" i="112" s="1"/>
  <c r="O47" i="81"/>
  <c r="C52" i="65"/>
  <c r="G216" i="85" s="1"/>
  <c r="C92" i="65"/>
  <c r="G217" i="85" s="1"/>
  <c r="C151"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Q209" i="53"/>
  <c r="Q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0" i="90"/>
  <c r="H192" i="90"/>
  <c r="H53" i="86"/>
  <c r="H193" i="90"/>
  <c r="H194" i="90"/>
  <c r="A3" i="80"/>
  <c r="S134" i="31"/>
  <c r="H53" i="80"/>
  <c r="S31" i="81"/>
  <c r="S133" i="31"/>
  <c r="H48" i="80"/>
  <c r="H47" i="80"/>
  <c r="L53" i="82"/>
  <c r="H112" i="89"/>
  <c r="H111" i="89"/>
  <c r="Q31" i="81"/>
  <c r="H72" i="89"/>
  <c r="H80" i="89" s="1"/>
  <c r="H87" i="89" s="1"/>
  <c r="H61" i="41" s="1"/>
  <c r="H67" i="41" s="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1"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95" i="89"/>
  <c r="G104" i="85" s="1"/>
  <c r="C31" i="86"/>
  <c r="G98" i="85" s="1"/>
  <c r="C38" i="23"/>
  <c r="G113" i="85" s="1"/>
  <c r="C37" i="76"/>
  <c r="G166" i="85" s="1"/>
  <c r="C138" i="105"/>
  <c r="G226" i="85" s="1"/>
  <c r="C15" i="41"/>
  <c r="G198" i="85" s="1"/>
  <c r="C17" i="76"/>
  <c r="G164" i="85" s="1"/>
  <c r="C13" i="89"/>
  <c r="G100" i="85" s="1"/>
  <c r="C35" i="89"/>
  <c r="G102" i="85" s="1"/>
  <c r="C99" i="89"/>
  <c r="G105" i="85" s="1"/>
  <c r="C92" i="105"/>
  <c r="G224" i="85" s="1"/>
  <c r="C13" i="86"/>
  <c r="G96" i="85" s="1"/>
  <c r="C25" i="89"/>
  <c r="G101" i="85" s="1"/>
  <c r="C35" i="86"/>
  <c r="G99" i="85" s="1"/>
  <c r="C16" i="65"/>
  <c r="G213" i="85" s="1"/>
  <c r="G214" i="85"/>
  <c r="C18" i="87"/>
  <c r="G91" i="85" s="1"/>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M114" i="31" l="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08" i="89" a="1"/>
  <c r="H108" i="89" s="1"/>
  <c r="H114" i="89" s="1"/>
  <c r="Q54" i="112"/>
  <c r="Q60" i="112" s="1"/>
  <c r="M54" i="112"/>
  <c r="M60" i="112" s="1"/>
  <c r="V54" i="112"/>
  <c r="V60" i="112" s="1"/>
  <c r="T54" i="112"/>
  <c r="T60" i="112" s="1"/>
  <c r="S54" i="112"/>
  <c r="S60" i="112" s="1"/>
  <c r="K54" i="112"/>
  <c r="K60" i="112" s="1"/>
  <c r="W54" i="112"/>
  <c r="W60" i="112" s="1"/>
  <c r="U54" i="112"/>
  <c r="U60" i="112" s="1"/>
  <c r="H196"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M358" i="22" s="1"/>
  <c r="N461" i="22"/>
  <c r="N345" i="22"/>
  <c r="N432" i="22"/>
  <c r="N374" i="22"/>
  <c r="N403" i="22"/>
  <c r="O335" i="22"/>
  <c r="O451" i="22"/>
  <c r="O422" i="22"/>
  <c r="O393" i="22"/>
  <c r="O364" i="22"/>
  <c r="O336" i="22"/>
  <c r="O452" i="22"/>
  <c r="O423" i="22"/>
  <c r="O394" i="22"/>
  <c r="O365" i="22"/>
  <c r="O348" i="22"/>
  <c r="O464" i="22"/>
  <c r="O435" i="22"/>
  <c r="O406" i="22"/>
  <c r="O415" i="22" s="1"/>
  <c r="O507" i="22" s="1"/>
  <c r="Y57" i="41" s="1"/>
  <c r="O377" i="22"/>
  <c r="N339" i="22"/>
  <c r="N357" i="22" s="1"/>
  <c r="N426" i="22"/>
  <c r="N455" i="22"/>
  <c r="N397" i="22"/>
  <c r="N415" i="22" s="1"/>
  <c r="N507" i="22" s="1"/>
  <c r="T57" i="41" s="1"/>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444" i="22" s="1"/>
  <c r="P508" i="22" s="1"/>
  <c r="AE57" i="41" s="1"/>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413" i="22" s="1"/>
  <c r="L495" i="22" s="1"/>
  <c r="N55" i="41" s="1"/>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P384" i="22" s="1"/>
  <c r="P494" i="22" s="1"/>
  <c r="AC55" i="41" s="1"/>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54" i="22" s="1"/>
  <c r="K487" i="22" s="1"/>
  <c r="K54" i="41" s="1"/>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4" i="55"/>
  <c r="H70" i="23" a="1"/>
  <c r="H70" i="23" s="1"/>
  <c r="A4" i="23" s="1"/>
  <c r="A4" i="89"/>
  <c r="J37" i="55"/>
  <c r="A4" i="70"/>
  <c r="J38" i="55"/>
  <c r="N444" i="22" l="1"/>
  <c r="N508" i="22" s="1"/>
  <c r="U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N505" i="22"/>
  <c r="R57" i="41" s="1"/>
  <c r="K359" i="22"/>
  <c r="N514" i="22"/>
  <c r="U58" i="41" s="1"/>
  <c r="N511" i="22"/>
  <c r="R58" i="41" s="1"/>
  <c r="P513" i="22"/>
  <c r="AD58" i="41" s="1"/>
  <c r="P514" i="22"/>
  <c r="AE58" i="41" s="1"/>
  <c r="L519" i="22"/>
  <c r="N59" i="41" s="1"/>
  <c r="M511" i="22"/>
  <c r="Q58"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AF119" i="41"/>
  <c r="AF131" i="41" s="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E118" i="41" l="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37" i="80"/>
  <c r="T85" i="80" s="1"/>
  <c r="T36" i="80"/>
  <c r="T130" i="80" s="1"/>
  <c r="T35" i="80"/>
  <c r="T129" i="80" s="1"/>
  <c r="T34" i="80"/>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127" i="83" s="1"/>
  <c r="R55" i="83"/>
  <c r="R123" i="83" s="1"/>
  <c r="X63" i="83"/>
  <c r="X61" i="83"/>
  <c r="X59" i="83"/>
  <c r="X127" i="83" s="1"/>
  <c r="X57" i="83"/>
  <c r="X55" i="83"/>
  <c r="X152" i="83" s="1"/>
  <c r="W63" i="83"/>
  <c r="W61" i="83"/>
  <c r="W59" i="83"/>
  <c r="W156" i="83" s="1"/>
  <c r="W26" i="71" s="1"/>
  <c r="W57" i="83"/>
  <c r="W55" i="83"/>
  <c r="W181" i="83" s="1"/>
  <c r="W52" i="71" s="1"/>
  <c r="V63" i="83"/>
  <c r="V61" i="83"/>
  <c r="V59" i="83"/>
  <c r="V57" i="83"/>
  <c r="V55" i="83"/>
  <c r="V123" i="83" s="1"/>
  <c r="T61" i="83"/>
  <c r="T57" i="83"/>
  <c r="S63" i="83"/>
  <c r="S59" i="83"/>
  <c r="S55" i="83"/>
  <c r="S123" i="83" s="1"/>
  <c r="R61" i="83"/>
  <c r="R57" i="83"/>
  <c r="H51" i="72"/>
  <c r="Y160" i="72" s="1"/>
  <c r="Y195" i="72" s="1"/>
  <c r="Y225" i="72" s="1"/>
  <c r="H54" i="72"/>
  <c r="U163" i="72" s="1"/>
  <c r="U198" i="72" s="1"/>
  <c r="U228" i="72" s="1"/>
  <c r="H58" i="72"/>
  <c r="T167" i="72" s="1"/>
  <c r="T202" i="72" s="1"/>
  <c r="T232" i="72" s="1"/>
  <c r="H52" i="72"/>
  <c r="S161" i="72" s="1"/>
  <c r="S196" i="72" s="1"/>
  <c r="S226" i="72" s="1"/>
  <c r="H57" i="72"/>
  <c r="U166" i="72" s="1"/>
  <c r="U201" i="72" s="1"/>
  <c r="U231" i="72" s="1"/>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U105" i="80"/>
  <c r="T128" i="80"/>
  <c r="T86" i="80"/>
  <c r="P202" i="80"/>
  <c r="T90" i="80"/>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V107" i="80"/>
  <c r="U82" i="80"/>
  <c r="Q20" i="31"/>
  <c r="P21" i="31"/>
  <c r="M255" i="80"/>
  <c r="M259" i="80"/>
  <c r="M258" i="80"/>
  <c r="M257" i="80"/>
  <c r="M253" i="80"/>
  <c r="M254" i="80"/>
  <c r="M252" i="80"/>
  <c r="M256" i="80"/>
  <c r="S74" i="74"/>
  <c r="S78" i="74"/>
  <c r="S77" i="74"/>
  <c r="S73" i="74"/>
  <c r="S76" i="74"/>
  <c r="S75" i="74"/>
  <c r="S72" i="74"/>
  <c r="L132" i="74"/>
  <c r="L133" i="74"/>
  <c r="J132" i="74"/>
  <c r="J133" i="74"/>
  <c r="V85" i="80" l="1"/>
  <c r="W84" i="80"/>
  <c r="X166" i="72"/>
  <c r="X201" i="72" s="1"/>
  <c r="X231" i="72" s="1"/>
  <c r="X185" i="83"/>
  <c r="X56" i="71" s="1"/>
  <c r="X161" i="71" s="1"/>
  <c r="W130" i="80"/>
  <c r="W105" i="80"/>
  <c r="W82" i="80"/>
  <c r="V131" i="80"/>
  <c r="V145" i="80" s="1"/>
  <c r="V171" i="80" s="1"/>
  <c r="Y164" i="72"/>
  <c r="Y199" i="72" s="1"/>
  <c r="Y229" i="72" s="1"/>
  <c r="W218" i="83"/>
  <c r="W90" i="71" s="1"/>
  <c r="W195" i="71" s="1"/>
  <c r="Y131" i="83"/>
  <c r="V164" i="72"/>
  <c r="V199" i="72" s="1"/>
  <c r="V229" i="72" s="1"/>
  <c r="S126"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P206" i="80"/>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T150" i="80" s="1"/>
  <c r="T176" i="80" s="1"/>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143" i="80" s="1"/>
  <c r="X169" i="80" s="1"/>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V144" i="80"/>
  <c r="V170" i="80" s="1"/>
  <c r="M54" i="53"/>
  <c r="W144" i="80"/>
  <c r="W170" i="80" s="1"/>
  <c r="X22" i="71"/>
  <c r="X127" i="71" s="1"/>
  <c r="Q21" i="31"/>
  <c r="Q23" i="31" s="1"/>
  <c r="R20" i="31"/>
  <c r="X188" i="71"/>
  <c r="W188" i="71"/>
  <c r="W157" i="71"/>
  <c r="V159" i="71"/>
  <c r="W131" i="71"/>
  <c r="U128" i="71"/>
  <c r="W142" i="80" l="1"/>
  <c r="W168" i="80" s="1"/>
  <c r="X142" i="80"/>
  <c r="X168" i="80" s="1"/>
  <c r="U145" i="80"/>
  <c r="U171" i="80" s="1"/>
  <c r="N145" i="41"/>
  <c r="P145" i="41"/>
  <c r="P147" i="41" s="1" a="1"/>
  <c r="AG145" i="41"/>
  <c r="U145" i="41"/>
  <c r="U147" i="41" s="1" a="1"/>
  <c r="U147" i="41" s="1"/>
  <c r="U149" i="41" s="1"/>
  <c r="Z145" i="4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Z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32" i="80" s="1"/>
  <c r="H215" i="80"/>
  <c r="H217" i="80"/>
  <c r="H221" i="80"/>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3" i="80"/>
  <c r="H229" i="80"/>
  <c r="H231" i="80"/>
  <c r="H230" i="80"/>
  <c r="H227" i="80"/>
  <c r="H226" i="80"/>
  <c r="R148" i="80"/>
  <c r="R174" i="80" s="1"/>
  <c r="S144" i="80"/>
  <c r="S170" i="80" s="1"/>
  <c r="R142" i="80"/>
  <c r="R168" i="80" s="1"/>
  <c r="J39"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L269"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36" i="112" s="1"/>
  <c r="N258" i="22"/>
  <c r="N260" i="22" s="1"/>
  <c r="N33" i="53" s="1"/>
  <c r="N306" i="22"/>
  <c r="N308" i="22" s="1"/>
  <c r="N247" i="22"/>
  <c r="N249" i="22" s="1"/>
  <c r="N273" i="22"/>
  <c r="N275" i="22" s="1"/>
  <c r="N284" i="22"/>
  <c r="N286" i="22" s="1"/>
  <c r="N236" i="22" l="1"/>
  <c r="N238" i="22" s="1"/>
  <c r="N31" i="53" s="1"/>
  <c r="N37" i="112"/>
  <c r="H41" i="112" s="1"/>
  <c r="N58" i="80"/>
  <c r="H40" i="112"/>
  <c r="J44" i="112" s="1"/>
  <c r="N188" i="80"/>
  <c r="N191" i="80" s="1"/>
  <c r="N192" i="80" s="1"/>
  <c r="N16" i="111"/>
  <c r="N18" i="74"/>
  <c r="N57" i="80"/>
  <c r="N32" i="53"/>
  <c r="N264" i="22" l="1"/>
  <c r="N56" i="80"/>
  <c r="N59" i="80" s="1"/>
  <c r="N34" i="53"/>
  <c r="N42" i="53" s="1"/>
  <c r="N48" i="53" s="1"/>
  <c r="N54" i="53" s="1"/>
  <c r="N45" i="112"/>
  <c r="N46" i="112" s="1"/>
  <c r="P45" i="112"/>
  <c r="P46" i="112" s="1"/>
  <c r="O45" i="112"/>
  <c r="O46" i="112" s="1"/>
  <c r="L45" i="112"/>
  <c r="L46" i="112" s="1"/>
  <c r="J45" i="112"/>
  <c r="J46" i="112" s="1"/>
  <c r="J29" i="41" s="1"/>
  <c r="J48" i="41" s="1"/>
  <c r="J47" i="65" s="1"/>
  <c r="J43" i="82" s="1"/>
  <c r="T129" i="74"/>
  <c r="U129" i="74"/>
  <c r="V129" i="74"/>
  <c r="S129" i="74"/>
  <c r="K129" i="74"/>
  <c r="N129" i="74"/>
  <c r="M129" i="74"/>
  <c r="Q129" i="74"/>
  <c r="X129" i="74"/>
  <c r="W129" i="74"/>
  <c r="R129" i="74"/>
  <c r="Y129" i="74"/>
  <c r="P129" i="74"/>
  <c r="O129" i="74"/>
  <c r="N17" i="111"/>
  <c r="N28" i="111"/>
  <c r="N34" i="111" s="1"/>
  <c r="H34" i="111" s="1"/>
  <c r="U74" i="81" s="1"/>
  <c r="U76" i="81" s="1"/>
  <c r="N27" i="111"/>
  <c r="N33" i="111" s="1"/>
  <c r="H33" i="111" s="1"/>
  <c r="T74" i="81" s="1"/>
  <c r="T76" i="81" s="1"/>
  <c r="N239" i="80"/>
  <c r="N202" i="80"/>
  <c r="N242" i="80"/>
  <c r="N240" i="80"/>
  <c r="N243" i="80"/>
  <c r="N244" i="80"/>
  <c r="N246" i="80"/>
  <c r="N241" i="80"/>
  <c r="N245" i="80"/>
  <c r="N29" i="41" l="1"/>
  <c r="T48" i="41" s="1"/>
  <c r="T47" i="65" s="1"/>
  <c r="T43" i="82" s="1"/>
  <c r="L29" i="41"/>
  <c r="M48" i="41" s="1"/>
  <c r="M47" i="65" s="1"/>
  <c r="M43" i="82" s="1"/>
  <c r="O29" i="41"/>
  <c r="AA48" i="41" s="1"/>
  <c r="AA47" i="65" s="1"/>
  <c r="AA43" i="82" s="1"/>
  <c r="P29" i="41"/>
  <c r="AB48" i="41" s="1"/>
  <c r="AB47" i="65" s="1"/>
  <c r="AB43" i="82" s="1"/>
  <c r="P50" i="112"/>
  <c r="N50" i="112"/>
  <c r="L50" i="112"/>
  <c r="O50" i="112"/>
  <c r="N43" i="53"/>
  <c r="N49" i="53" s="1"/>
  <c r="N44" i="53"/>
  <c r="N50" i="53" s="1"/>
  <c r="N69" i="53"/>
  <c r="L54" i="112"/>
  <c r="N71" i="53"/>
  <c r="N73" i="53" s="1"/>
  <c r="P54" i="112"/>
  <c r="O54" i="112"/>
  <c r="N54" i="112"/>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J54" i="112"/>
  <c r="J50" i="112"/>
  <c r="Y132" i="74"/>
  <c r="Y133" i="74"/>
  <c r="X132" i="74"/>
  <c r="X133" i="74"/>
  <c r="N132" i="74"/>
  <c r="N133" i="74"/>
  <c r="U132" i="74"/>
  <c r="U133" i="74"/>
  <c r="U48" i="41" l="1"/>
  <c r="U47" i="65" s="1"/>
  <c r="U43" i="82" s="1"/>
  <c r="X48" i="41"/>
  <c r="X47" i="65" s="1"/>
  <c r="X43" i="82" s="1"/>
  <c r="V48" i="41"/>
  <c r="V47" i="65" s="1"/>
  <c r="V43" i="82" s="1"/>
  <c r="P60" i="112"/>
  <c r="O48" i="41"/>
  <c r="O47" i="65" s="1"/>
  <c r="O43" i="82" s="1"/>
  <c r="Y48" i="41"/>
  <c r="Y47" i="65" s="1"/>
  <c r="Y43" i="82" s="1"/>
  <c r="R48" i="41"/>
  <c r="R47" i="65" s="1"/>
  <c r="R43" i="82" s="1"/>
  <c r="Z48" i="41"/>
  <c r="Z47" i="65" s="1"/>
  <c r="Z43" i="82" s="1"/>
  <c r="W48" i="41"/>
  <c r="W47" i="65" s="1"/>
  <c r="W43" i="82" s="1"/>
  <c r="S48" i="41"/>
  <c r="S47" i="65" s="1"/>
  <c r="S43" i="82" s="1"/>
  <c r="P48" i="41"/>
  <c r="P47" i="65" s="1"/>
  <c r="P43" i="82" s="1"/>
  <c r="N48" i="41"/>
  <c r="N47" i="65" s="1"/>
  <c r="N43" i="82" s="1"/>
  <c r="L48" i="41"/>
  <c r="L47" i="65" s="1"/>
  <c r="L43" i="82" s="1"/>
  <c r="AC48" i="41"/>
  <c r="AC47" i="65" s="1"/>
  <c r="AC43" i="82" s="1"/>
  <c r="AD48" i="41"/>
  <c r="AD47" i="65" s="1"/>
  <c r="AD43" i="82" s="1"/>
  <c r="AE48" i="41"/>
  <c r="AE47" i="65" s="1"/>
  <c r="AE43" i="82" s="1"/>
  <c r="AF48" i="41"/>
  <c r="AF47" i="65" s="1"/>
  <c r="AF43" i="82" s="1"/>
  <c r="L60" i="112"/>
  <c r="N60" i="112"/>
  <c r="N259" i="80"/>
  <c r="N256" i="80"/>
  <c r="N258" i="80"/>
  <c r="N255" i="80"/>
  <c r="N254" i="80"/>
  <c r="N253" i="80"/>
  <c r="N257" i="80"/>
  <c r="N252" i="80"/>
  <c r="O60" i="112"/>
  <c r="N79" i="53"/>
  <c r="N85" i="53" s="1"/>
  <c r="N77" i="53"/>
  <c r="N83" i="53" s="1"/>
  <c r="H56" i="112"/>
  <c r="H87" i="105" s="1"/>
  <c r="H130" i="105" s="1"/>
  <c r="H52" i="112"/>
  <c r="H86" i="105" s="1"/>
  <c r="H129" i="105" s="1"/>
  <c r="J60" i="112"/>
  <c r="N20" i="74"/>
  <c r="N204" i="80"/>
  <c r="N206" i="80" s="1"/>
  <c r="N91" i="53" l="1"/>
  <c r="N93" i="53" s="1"/>
  <c r="N278" i="53" s="1"/>
  <c r="H62" i="112"/>
  <c r="H64" i="112" s="1"/>
  <c r="H66" i="112" s="1" a="1"/>
  <c r="H66" i="112" s="1"/>
  <c r="A4" i="112" s="1"/>
  <c r="N72" i="74"/>
  <c r="N74" i="74"/>
  <c r="N77" i="74"/>
  <c r="N75" i="74"/>
  <c r="N78" i="74"/>
  <c r="N76" i="74"/>
  <c r="N73" i="74"/>
  <c r="N267" i="53" l="1"/>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J52" i="55"/>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N125" i="83" l="1"/>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35" i="55"/>
  <c r="J67" i="22"/>
  <c r="J528" i="22" s="1"/>
  <c r="J22" i="105" s="1"/>
  <c r="J170" i="105" l="1"/>
  <c r="J172" i="105" s="1"/>
  <c r="J64" i="82" s="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1" i="55"/>
  <c r="A4" i="22"/>
  <c r="J44"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2"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3"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5" i="55" s="1"/>
  <c r="H48" i="76" a="1"/>
  <c r="H48" i="76" s="1"/>
  <c r="A4" i="76" s="1"/>
  <c r="H21" i="82"/>
  <c r="H23" i="82"/>
  <c r="H20" i="82"/>
  <c r="H22" i="82"/>
  <c r="H19" i="82"/>
  <c r="H63" i="72" a="1"/>
  <c r="H65" i="73" a="1"/>
  <c r="H30" i="83" a="1"/>
  <c r="A4" i="81" l="1"/>
  <c r="J47"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37"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38" i="82" s="1"/>
  <c r="AC46" i="41"/>
  <c r="AD46" i="41"/>
  <c r="AE46" i="41"/>
  <c r="AO77" i="41"/>
  <c r="O46" i="41"/>
  <c r="P46" i="41"/>
  <c r="L46" i="41"/>
  <c r="L26" i="65" s="1"/>
  <c r="L116" i="65" s="1"/>
  <c r="L38" i="82" s="1"/>
  <c r="M46" i="41"/>
  <c r="N46" i="41"/>
  <c r="Q76" i="41"/>
  <c r="L117" i="74"/>
  <c r="L149" i="74" s="1"/>
  <c r="J117" i="74"/>
  <c r="J149" i="74" s="1"/>
  <c r="K81" i="41"/>
  <c r="T42" i="41"/>
  <c r="R42" i="41"/>
  <c r="R22" i="65" s="1"/>
  <c r="S42" i="41"/>
  <c r="U42" i="41"/>
  <c r="V42" i="41"/>
  <c r="AF45" i="41"/>
  <c r="AB45" i="41"/>
  <c r="AB25" i="65" s="1"/>
  <c r="AB115" i="65" s="1"/>
  <c r="AB37" i="82" s="1"/>
  <c r="AD45" i="41"/>
  <c r="AC45" i="41"/>
  <c r="AE45" i="41"/>
  <c r="AJ76" i="41"/>
  <c r="U41" i="41"/>
  <c r="T41" i="41"/>
  <c r="V41" i="41"/>
  <c r="S41" i="41"/>
  <c r="R41" i="41"/>
  <c r="R21" i="65" s="1"/>
  <c r="T46" i="41"/>
  <c r="S46" i="41"/>
  <c r="V46" i="41"/>
  <c r="U46" i="41"/>
  <c r="R46" i="41"/>
  <c r="R26" i="65" s="1"/>
  <c r="R116" i="65" s="1"/>
  <c r="R38"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6" i="41"/>
  <c r="Y42" i="41"/>
  <c r="X42" i="41"/>
  <c r="Z42" i="41"/>
  <c r="W42" i="41"/>
  <c r="W22" i="65" s="1"/>
  <c r="AA42" i="41"/>
  <c r="Y46" i="41"/>
  <c r="Z46" i="41"/>
  <c r="AA46" i="41"/>
  <c r="X46" i="41"/>
  <c r="W46" i="41"/>
  <c r="W26" i="65" s="1"/>
  <c r="W116" i="65" s="1"/>
  <c r="W38" i="82" s="1"/>
  <c r="K77" i="41"/>
  <c r="AH81"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36"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37"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36" i="82" s="1"/>
  <c r="AA45" i="41"/>
  <c r="Z45" i="41"/>
  <c r="Y45" i="41"/>
  <c r="X45" i="41"/>
  <c r="W45" i="41"/>
  <c r="W25" i="65" s="1"/>
  <c r="W115" i="65" s="1"/>
  <c r="W37"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37" i="82" s="1"/>
  <c r="AE76" i="41"/>
  <c r="AE21" i="65"/>
  <c r="W145" i="65"/>
  <c r="W174" i="65" s="1"/>
  <c r="W79" i="105" s="1"/>
  <c r="W121" i="105" s="1"/>
  <c r="W127" i="65"/>
  <c r="W156" i="65" s="1"/>
  <c r="W61" i="105" s="1"/>
  <c r="W101" i="105" s="1"/>
  <c r="X77" i="41"/>
  <c r="X22" i="65"/>
  <c r="R145" i="65"/>
  <c r="R174" i="65" s="1"/>
  <c r="R79" i="105" s="1"/>
  <c r="R121" i="105" s="1"/>
  <c r="R136" i="65"/>
  <c r="R165" i="65" s="1"/>
  <c r="R70" i="105" s="1"/>
  <c r="R111" i="105" s="1"/>
  <c r="R127" i="65"/>
  <c r="R156" i="65" s="1"/>
  <c r="R61" i="105" s="1"/>
  <c r="R101" i="105" s="1"/>
  <c r="T76" i="41"/>
  <c r="T21" i="65"/>
  <c r="V77" i="41"/>
  <c r="V22" i="65"/>
  <c r="T77" i="41"/>
  <c r="T22" i="65"/>
  <c r="P81" i="41"/>
  <c r="P26" i="65"/>
  <c r="P116" i="65" s="1"/>
  <c r="P38" i="82" s="1"/>
  <c r="AD81" i="41"/>
  <c r="AD26" i="65"/>
  <c r="AD116" i="65" s="1"/>
  <c r="AD38" i="82" s="1"/>
  <c r="Z80" i="41"/>
  <c r="Z25" i="65"/>
  <c r="Z115" i="65" s="1"/>
  <c r="Z37" i="82" s="1"/>
  <c r="M76" i="41"/>
  <c r="M21" i="65"/>
  <c r="V80" i="41"/>
  <c r="V25" i="65"/>
  <c r="V115" i="65" s="1"/>
  <c r="V37" i="82" s="1"/>
  <c r="X81" i="41"/>
  <c r="X26" i="65"/>
  <c r="X116" i="65" s="1"/>
  <c r="X38" i="82" s="1"/>
  <c r="AA77" i="41"/>
  <c r="AA22" i="65"/>
  <c r="U81" i="41"/>
  <c r="U26" i="65"/>
  <c r="U116" i="65" s="1"/>
  <c r="U38" i="82" s="1"/>
  <c r="U76" i="41"/>
  <c r="U21" i="65"/>
  <c r="O81" i="41"/>
  <c r="O26" i="65"/>
  <c r="O116" i="65" s="1"/>
  <c r="O38" i="82" s="1"/>
  <c r="W144" i="65"/>
  <c r="W173" i="65" s="1"/>
  <c r="W78" i="105" s="1"/>
  <c r="W120" i="105" s="1"/>
  <c r="W126" i="65"/>
  <c r="W155" i="65" s="1"/>
  <c r="W60" i="105" s="1"/>
  <c r="W100" i="105" s="1"/>
  <c r="AA80" i="41"/>
  <c r="AA25" i="65"/>
  <c r="AA115" i="65" s="1"/>
  <c r="AA37" i="82" s="1"/>
  <c r="T80" i="41"/>
  <c r="T25" i="65"/>
  <c r="T115" i="65" s="1"/>
  <c r="T37" i="82" s="1"/>
  <c r="Y76" i="41"/>
  <c r="Y21" i="65"/>
  <c r="AC76" i="41"/>
  <c r="AC21" i="65"/>
  <c r="N80" i="41"/>
  <c r="N25" i="65"/>
  <c r="N115" i="65" s="1"/>
  <c r="N37" i="82" s="1"/>
  <c r="L144" i="65"/>
  <c r="L173" i="65" s="1"/>
  <c r="L78" i="105" s="1"/>
  <c r="L120" i="105" s="1"/>
  <c r="L135" i="65"/>
  <c r="L164" i="65" s="1"/>
  <c r="L69" i="105" s="1"/>
  <c r="L110" i="105" s="1"/>
  <c r="L126" i="65"/>
  <c r="L155" i="65" s="1"/>
  <c r="L60" i="105" s="1"/>
  <c r="L100" i="105" s="1"/>
  <c r="AA81" i="41"/>
  <c r="AA26" i="65"/>
  <c r="AA116" i="65" s="1"/>
  <c r="AA38" i="82" s="1"/>
  <c r="V81" i="41"/>
  <c r="V26" i="65"/>
  <c r="V116" i="65" s="1"/>
  <c r="V38" i="82" s="1"/>
  <c r="S76" i="41"/>
  <c r="S21" i="65"/>
  <c r="AB144" i="65"/>
  <c r="AB173" i="65" s="1"/>
  <c r="AB78" i="105" s="1"/>
  <c r="AB120" i="105" s="1"/>
  <c r="AB126" i="65"/>
  <c r="AB155" i="65" s="1"/>
  <c r="AB60" i="105" s="1"/>
  <c r="AB100" i="105" s="1"/>
  <c r="S77" i="41"/>
  <c r="S22" i="65"/>
  <c r="M81" i="41"/>
  <c r="M26" i="65"/>
  <c r="M116" i="65" s="1"/>
  <c r="M38" i="82" s="1"/>
  <c r="AB145" i="65"/>
  <c r="AB174" i="65" s="1"/>
  <c r="AB79" i="105" s="1"/>
  <c r="AB121" i="105" s="1"/>
  <c r="AB127" i="65"/>
  <c r="AB156" i="65" s="1"/>
  <c r="AB61" i="105" s="1"/>
  <c r="AB101" i="105" s="1"/>
  <c r="Y80" i="41"/>
  <c r="Y25" i="65"/>
  <c r="Y115" i="65" s="1"/>
  <c r="Y37" i="82" s="1"/>
  <c r="N76" i="41"/>
  <c r="N21" i="65"/>
  <c r="R126" i="65"/>
  <c r="R155" i="65" s="1"/>
  <c r="R60" i="105" s="1"/>
  <c r="R100" i="105" s="1"/>
  <c r="R135" i="65"/>
  <c r="R164" i="65" s="1"/>
  <c r="R69" i="105" s="1"/>
  <c r="R110" i="105" s="1"/>
  <c r="R144" i="65"/>
  <c r="R173" i="65" s="1"/>
  <c r="R78" i="105" s="1"/>
  <c r="R120" i="105" s="1"/>
  <c r="X76" i="41"/>
  <c r="X21" i="65"/>
  <c r="AD76" i="41"/>
  <c r="AD21" i="65"/>
  <c r="O80" i="41"/>
  <c r="O25" i="65"/>
  <c r="O115" i="65" s="1"/>
  <c r="O37" i="82" s="1"/>
  <c r="Y81" i="41"/>
  <c r="Y26" i="65"/>
  <c r="Y116" i="65" s="1"/>
  <c r="Y38" i="82" s="1"/>
  <c r="T81" i="41"/>
  <c r="T26" i="65"/>
  <c r="T116" i="65" s="1"/>
  <c r="T38" i="82" s="1"/>
  <c r="AC80" i="41"/>
  <c r="AC25" i="65"/>
  <c r="AC115" i="65" s="1"/>
  <c r="AC37" i="82" s="1"/>
  <c r="AG144" i="65"/>
  <c r="AG173" i="65" s="1"/>
  <c r="AG78" i="105" s="1"/>
  <c r="AG198" i="105" s="1"/>
  <c r="AG135" i="65"/>
  <c r="AG164" i="65" s="1"/>
  <c r="AG69" i="105" s="1"/>
  <c r="AG187" i="105" s="1"/>
  <c r="AG126" i="65"/>
  <c r="AG155" i="65" s="1"/>
  <c r="AG60" i="105" s="1"/>
  <c r="AG100" i="105" s="1"/>
  <c r="O76" i="41"/>
  <c r="O21" i="65"/>
  <c r="Z76" i="41"/>
  <c r="Z21" i="65"/>
  <c r="P80" i="41"/>
  <c r="P25" i="65"/>
  <c r="P115" i="65" s="1"/>
  <c r="P37" i="82" s="1"/>
  <c r="Y77" i="41"/>
  <c r="Y22" i="65"/>
  <c r="AD80" i="41"/>
  <c r="AD25" i="65"/>
  <c r="AD115" i="65" s="1"/>
  <c r="AD37" i="82" s="1"/>
  <c r="U77" i="41"/>
  <c r="U22" i="65"/>
  <c r="N81" i="41"/>
  <c r="N26" i="65"/>
  <c r="N116" i="65" s="1"/>
  <c r="N38" i="82" s="1"/>
  <c r="AC81" i="41"/>
  <c r="AC26" i="65"/>
  <c r="AC116" i="65" s="1"/>
  <c r="AC38" i="82" s="1"/>
  <c r="X80" i="41"/>
  <c r="X25" i="65"/>
  <c r="X115" i="65" s="1"/>
  <c r="X37" i="82" s="1"/>
  <c r="Q125" i="65"/>
  <c r="Q154" i="65" s="1"/>
  <c r="Q59" i="105" s="1"/>
  <c r="Q99" i="105" s="1"/>
  <c r="Q134" i="65"/>
  <c r="Q163" i="65" s="1"/>
  <c r="Q68" i="105" s="1"/>
  <c r="Q186" i="105" s="1"/>
  <c r="Q143" i="65"/>
  <c r="Q172" i="65" s="1"/>
  <c r="Q77" i="105" s="1"/>
  <c r="Q197" i="105" s="1"/>
  <c r="P76" i="41"/>
  <c r="P21" i="65"/>
  <c r="U80" i="41"/>
  <c r="U25" i="65"/>
  <c r="U115" i="65" s="1"/>
  <c r="U37" i="82" s="1"/>
  <c r="K143" i="65"/>
  <c r="K172" i="65" s="1"/>
  <c r="K77" i="105" s="1"/>
  <c r="K197" i="105" s="1"/>
  <c r="K134" i="65"/>
  <c r="K163" i="65" s="1"/>
  <c r="K68" i="105" s="1"/>
  <c r="K186" i="105" s="1"/>
  <c r="K125" i="65"/>
  <c r="K154" i="65" s="1"/>
  <c r="K59" i="105" s="1"/>
  <c r="K99" i="105" s="1"/>
  <c r="AA76" i="41"/>
  <c r="AA21" i="65"/>
  <c r="AF76" i="41"/>
  <c r="AF21" i="65"/>
  <c r="M80" i="41"/>
  <c r="M25" i="65"/>
  <c r="M115" i="65" s="1"/>
  <c r="M37" i="82" s="1"/>
  <c r="Z81" i="41"/>
  <c r="Z26" i="65"/>
  <c r="Z116" i="65" s="1"/>
  <c r="Z38" i="82" s="1"/>
  <c r="Z77" i="41"/>
  <c r="Z22" i="65"/>
  <c r="AG125" i="65"/>
  <c r="AG154" i="65" s="1"/>
  <c r="AG59" i="105" s="1"/>
  <c r="AG99" i="105" s="1"/>
  <c r="AG134" i="65"/>
  <c r="AG163" i="65" s="1"/>
  <c r="AG68" i="105" s="1"/>
  <c r="AG186" i="105" s="1"/>
  <c r="AG143" i="65"/>
  <c r="AG172" i="65" s="1"/>
  <c r="AG77" i="105" s="1"/>
  <c r="AG197" i="105" s="1"/>
  <c r="S81" i="41"/>
  <c r="S26" i="65"/>
  <c r="S116" i="65" s="1"/>
  <c r="S38" i="82" s="1"/>
  <c r="V76" i="41"/>
  <c r="V21" i="65"/>
  <c r="AE80" i="41"/>
  <c r="AE25" i="65"/>
  <c r="AE115" i="65" s="1"/>
  <c r="AE37" i="82" s="1"/>
  <c r="AF80" i="41"/>
  <c r="AF25" i="65"/>
  <c r="AF115" i="65" s="1"/>
  <c r="AF37" i="82" s="1"/>
  <c r="L145" i="65"/>
  <c r="L174" i="65" s="1"/>
  <c r="L79" i="105" s="1"/>
  <c r="L121" i="105" s="1"/>
  <c r="L127" i="65"/>
  <c r="L156" i="65" s="1"/>
  <c r="L61" i="105" s="1"/>
  <c r="L101" i="105" s="1"/>
  <c r="L136" i="65"/>
  <c r="L165" i="65" s="1"/>
  <c r="L70" i="105" s="1"/>
  <c r="L111" i="105" s="1"/>
  <c r="AE81" i="41"/>
  <c r="AE26" i="65"/>
  <c r="AE116" i="65" s="1"/>
  <c r="AE38" i="82" s="1"/>
  <c r="AF81" i="41"/>
  <c r="AF26" i="65"/>
  <c r="AF116" i="65" s="1"/>
  <c r="AF38" i="82" s="1"/>
  <c r="J161" i="74"/>
  <c r="J23" i="41" s="1"/>
  <c r="J43" i="41" s="1"/>
  <c r="H223" i="71" a="1"/>
  <c r="H223" i="71" s="1"/>
  <c r="J48" i="55" s="1"/>
  <c r="S75" i="41"/>
  <c r="L161" i="74"/>
  <c r="L23" i="41" s="1"/>
  <c r="AE75" i="41"/>
  <c r="P75" i="41"/>
  <c r="J75" i="41"/>
  <c r="V75" i="41"/>
  <c r="R75" i="41"/>
  <c r="Y75" i="41"/>
  <c r="J114" i="65"/>
  <c r="J79" i="41"/>
  <c r="A4" i="83"/>
  <c r="J46"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36" i="82" s="1"/>
  <c r="AB76" i="41"/>
  <c r="W80" i="41"/>
  <c r="Q79" i="41"/>
  <c r="L76" i="41"/>
  <c r="N44" i="41"/>
  <c r="L44" i="41"/>
  <c r="L24" i="65" s="1"/>
  <c r="L114" i="65" s="1"/>
  <c r="L36"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36" i="82" s="1"/>
  <c r="AF44" i="41"/>
  <c r="AE44" i="41"/>
  <c r="U75" i="41"/>
  <c r="X75" i="41"/>
  <c r="J144" i="65"/>
  <c r="J173" i="65" s="1"/>
  <c r="J78" i="105" s="1"/>
  <c r="J198" i="105" s="1"/>
  <c r="J126" i="65"/>
  <c r="J155" i="65" s="1"/>
  <c r="J135" i="65"/>
  <c r="J164" i="65" s="1"/>
  <c r="J69" i="105" s="1"/>
  <c r="J187" i="105" s="1"/>
  <c r="J37" i="82"/>
  <c r="L80" i="41"/>
  <c r="W81" i="41"/>
  <c r="AG79" i="41"/>
  <c r="X161" i="74"/>
  <c r="X23" i="41" s="1"/>
  <c r="AN43" i="41" s="1"/>
  <c r="AN23" i="65" s="1"/>
  <c r="O161" i="74"/>
  <c r="O23" i="41" s="1"/>
  <c r="N161" i="74"/>
  <c r="N23" i="41" s="1"/>
  <c r="R76"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1" i="41"/>
  <c r="AB81" i="41"/>
  <c r="Q119" i="105" l="1"/>
  <c r="AG109" i="105"/>
  <c r="Q109" i="105"/>
  <c r="AG119" i="105"/>
  <c r="K109" i="105"/>
  <c r="AG110" i="105"/>
  <c r="K119" i="105"/>
  <c r="AG120" i="105"/>
  <c r="R143" i="65"/>
  <c r="R172" i="65" s="1"/>
  <c r="R77" i="105" s="1"/>
  <c r="R119" i="105" s="1"/>
  <c r="R125" i="65"/>
  <c r="R154" i="65" s="1"/>
  <c r="R59" i="105" s="1"/>
  <c r="R99" i="105" s="1"/>
  <c r="R134" i="65"/>
  <c r="R163" i="65" s="1"/>
  <c r="R68" i="105" s="1"/>
  <c r="R109" i="105" s="1"/>
  <c r="AA79"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19" i="105" s="1"/>
  <c r="L125" i="65"/>
  <c r="L154" i="65" s="1"/>
  <c r="L59" i="105" s="1"/>
  <c r="L99" i="105" s="1"/>
  <c r="L134" i="65"/>
  <c r="L163" i="65" s="1"/>
  <c r="L68" i="105" s="1"/>
  <c r="L109" i="105" s="1"/>
  <c r="Y79"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36" i="82" s="1"/>
  <c r="AE79" i="41"/>
  <c r="AE24" i="65"/>
  <c r="AE114" i="65" s="1"/>
  <c r="AE36" i="82" s="1"/>
  <c r="AC79" i="41"/>
  <c r="AC24" i="65"/>
  <c r="AC114" i="65" s="1"/>
  <c r="AC36" i="82" s="1"/>
  <c r="P79" i="41"/>
  <c r="P24" i="65"/>
  <c r="P114" i="65" s="1"/>
  <c r="P36" i="82" s="1"/>
  <c r="N79" i="41"/>
  <c r="N24" i="65"/>
  <c r="N114" i="65" s="1"/>
  <c r="N36" i="82" s="1"/>
  <c r="W143" i="65"/>
  <c r="W172" i="65" s="1"/>
  <c r="W77" i="105" s="1"/>
  <c r="W119" i="105" s="1"/>
  <c r="W125" i="65"/>
  <c r="W154" i="65" s="1"/>
  <c r="W59" i="105" s="1"/>
  <c r="W99" i="105" s="1"/>
  <c r="X79"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19" i="105" s="1"/>
  <c r="AB125" i="65"/>
  <c r="AB154" i="65" s="1"/>
  <c r="AB59" i="105" s="1"/>
  <c r="AB99" i="105" s="1"/>
  <c r="O79"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36" i="82" s="1"/>
  <c r="AD79" i="41"/>
  <c r="AD24" i="65"/>
  <c r="AD114" i="65" s="1"/>
  <c r="AD36" i="82" s="1"/>
  <c r="T79" i="41"/>
  <c r="T24" i="65"/>
  <c r="T114" i="65" s="1"/>
  <c r="T36" i="82" s="1"/>
  <c r="U79" i="41"/>
  <c r="U24" i="65"/>
  <c r="U114" i="65" s="1"/>
  <c r="U36" i="82" s="1"/>
  <c r="AF79" i="41"/>
  <c r="AF24" i="65"/>
  <c r="AF114" i="65" s="1"/>
  <c r="AF36" i="82" s="1"/>
  <c r="M79" i="41"/>
  <c r="M24" i="65"/>
  <c r="M114" i="65" s="1"/>
  <c r="M36" i="82" s="1"/>
  <c r="Z79" i="41"/>
  <c r="Z24" i="65"/>
  <c r="Z114" i="65" s="1"/>
  <c r="Z36"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49" i="55"/>
  <c r="AH78" i="41"/>
  <c r="AH82" i="41" s="1"/>
  <c r="L79" i="41"/>
  <c r="W79"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0"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36" i="82"/>
  <c r="J134" i="65"/>
  <c r="J163" i="65" s="1"/>
  <c r="J68" i="105" s="1"/>
  <c r="J186" i="105" s="1"/>
  <c r="H75" i="41"/>
  <c r="AC222" i="41" l="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1"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35" i="82" s="1"/>
  <c r="AB226" i="41"/>
  <c r="AB228" i="41" s="1"/>
  <c r="AB424" i="41" s="1"/>
  <c r="AB415" i="41"/>
  <c r="AB35" i="65" s="1"/>
  <c r="AB113" i="65" s="1"/>
  <c r="AB35" i="82" s="1"/>
  <c r="AH226" i="41"/>
  <c r="AH228" i="41" s="1"/>
  <c r="AH424" i="41" s="1"/>
  <c r="AH415" i="41"/>
  <c r="AH35" i="65" s="1"/>
  <c r="AH113" i="65" s="1"/>
  <c r="AH35" i="82" s="1"/>
  <c r="AI226" i="41"/>
  <c r="AI228" i="41" s="1"/>
  <c r="AI424" i="41" s="1"/>
  <c r="AI415" i="41"/>
  <c r="AI35" i="65" s="1"/>
  <c r="AI113" i="65" s="1"/>
  <c r="AI35" i="82" s="1"/>
  <c r="K226" i="41"/>
  <c r="K228" i="41" s="1"/>
  <c r="K424" i="41" s="1"/>
  <c r="K415" i="41"/>
  <c r="K35" i="65" s="1"/>
  <c r="K113" i="65" s="1"/>
  <c r="K35" i="82" s="1"/>
  <c r="AO226" i="41"/>
  <c r="AO228" i="41" s="1"/>
  <c r="AO424" i="41" s="1"/>
  <c r="AO415" i="41"/>
  <c r="AO35" i="65" s="1"/>
  <c r="AO113" i="65" s="1"/>
  <c r="AO124" i="65" s="1"/>
  <c r="AO153" i="65" s="1"/>
  <c r="AO58" i="105" s="1"/>
  <c r="AO98" i="105" s="1"/>
  <c r="AJ226" i="41"/>
  <c r="AJ228" i="41" s="1"/>
  <c r="AJ424" i="41" s="1"/>
  <c r="AJ415" i="41"/>
  <c r="AJ35" i="65" s="1"/>
  <c r="AJ113" i="65" s="1"/>
  <c r="AJ35"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35" i="82" s="1"/>
  <c r="L226" i="41"/>
  <c r="L228" i="41" s="1"/>
  <c r="L424" i="41" s="1"/>
  <c r="L415" i="41"/>
  <c r="L35" i="65" s="1"/>
  <c r="L113" i="65" s="1"/>
  <c r="L35" i="82" s="1"/>
  <c r="AL226" i="41"/>
  <c r="AL228" i="41" s="1"/>
  <c r="AL424" i="41" s="1"/>
  <c r="AL415" i="41"/>
  <c r="AL35" i="65" s="1"/>
  <c r="AL113" i="65" s="1"/>
  <c r="AK35" i="82" s="1"/>
  <c r="W226" i="41"/>
  <c r="W228" i="41" s="1"/>
  <c r="W424" i="41" s="1"/>
  <c r="W415" i="41"/>
  <c r="W35" i="65" s="1"/>
  <c r="W113" i="65" s="1"/>
  <c r="W35" i="82" s="1"/>
  <c r="AG226" i="41"/>
  <c r="AG228" i="41" s="1"/>
  <c r="AG424" i="41" s="1"/>
  <c r="AG415" i="41"/>
  <c r="AG35" i="65" s="1"/>
  <c r="AG113" i="65" s="1"/>
  <c r="AG35" i="82" s="1"/>
  <c r="Q226" i="41"/>
  <c r="Q228" i="41" s="1"/>
  <c r="Q424" i="41" s="1"/>
  <c r="Q415" i="41"/>
  <c r="Q35" i="65" s="1"/>
  <c r="Q113" i="65" s="1"/>
  <c r="Q35"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84" i="41" s="1"/>
  <c r="H88" i="105" s="1"/>
  <c r="H131" i="105" s="1"/>
  <c r="H78" i="41"/>
  <c r="H120" i="105"/>
  <c r="AJ142" i="65" l="1"/>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404" i="41" s="1"/>
  <c r="AI413" i="41" s="1"/>
  <c r="AJ124" i="65"/>
  <c r="AJ153" i="65" s="1"/>
  <c r="AJ58" i="105" s="1"/>
  <c r="AJ98" i="105" s="1"/>
  <c r="AJ133" i="65"/>
  <c r="AJ162" i="65" s="1"/>
  <c r="AJ67" i="105" s="1"/>
  <c r="AJ185" i="105" s="1"/>
  <c r="K237" i="41"/>
  <c r="K267" i="41" s="1"/>
  <c r="AH237" i="41"/>
  <c r="AH405" i="41" s="1"/>
  <c r="AH414" i="41" s="1"/>
  <c r="Q124" i="65"/>
  <c r="Q153" i="65" s="1"/>
  <c r="Q58" i="105" s="1"/>
  <c r="Q98" i="105" s="1"/>
  <c r="Q142" i="65"/>
  <c r="Q171" i="65" s="1"/>
  <c r="Q76" i="105" s="1"/>
  <c r="Q196" i="105" s="1"/>
  <c r="AN237" i="41"/>
  <c r="AN269" i="41" s="1"/>
  <c r="AM237" i="41"/>
  <c r="AM272" i="41" s="1"/>
  <c r="AJ237" i="41"/>
  <c r="AJ27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08" i="105" s="1"/>
  <c r="L142" i="65"/>
  <c r="L171" i="65" s="1"/>
  <c r="L76" i="105" s="1"/>
  <c r="L118" i="105" s="1"/>
  <c r="AB124" i="65"/>
  <c r="AB153" i="65" s="1"/>
  <c r="AB58" i="105" s="1"/>
  <c r="AB98" i="105" s="1"/>
  <c r="AB142" i="65"/>
  <c r="AB171" i="65" s="1"/>
  <c r="AB76" i="105" s="1"/>
  <c r="AB118" i="105" s="1"/>
  <c r="R142" i="65"/>
  <c r="R171" i="65" s="1"/>
  <c r="R76" i="105" s="1"/>
  <c r="R118" i="105" s="1"/>
  <c r="R124" i="65"/>
  <c r="R153" i="65" s="1"/>
  <c r="R58" i="105" s="1"/>
  <c r="R98" i="105" s="1"/>
  <c r="R133" i="65"/>
  <c r="R162" i="65" s="1"/>
  <c r="R67" i="105" s="1"/>
  <c r="R108"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AH249" i="41" l="1"/>
  <c r="AJ118" i="105"/>
  <c r="AH108" i="105"/>
  <c r="AH268" i="41"/>
  <c r="AH118" i="105"/>
  <c r="AH269" i="41"/>
  <c r="AH274" i="41"/>
  <c r="Q108" i="105"/>
  <c r="AH403" i="41"/>
  <c r="AH412" i="41" s="1"/>
  <c r="AH250" i="41"/>
  <c r="AI269" i="41"/>
  <c r="AH273" i="41"/>
  <c r="K404" i="41"/>
  <c r="K274" i="41"/>
  <c r="K251" i="41"/>
  <c r="K268" i="41"/>
  <c r="AJ108" i="105"/>
  <c r="K272" i="41"/>
  <c r="K273" i="41"/>
  <c r="AI267" i="41"/>
  <c r="AI405" i="41"/>
  <c r="AI414" i="41" s="1"/>
  <c r="AH272" i="41"/>
  <c r="AI272" i="41"/>
  <c r="AJ250" i="41"/>
  <c r="AH251" i="41"/>
  <c r="AH404" i="41"/>
  <c r="AH413" i="41" s="1"/>
  <c r="AH267" i="41"/>
  <c r="AJ405" i="41"/>
  <c r="AJ414" i="41" s="1"/>
  <c r="AJ268" i="41"/>
  <c r="AI268" i="41"/>
  <c r="AI273" i="41"/>
  <c r="AI249" i="41"/>
  <c r="AI274" i="41"/>
  <c r="AI250" i="41"/>
  <c r="AI403" i="41"/>
  <c r="AI412" i="41" s="1"/>
  <c r="AI251" i="41"/>
  <c r="K269" i="41"/>
  <c r="AJ403" i="41"/>
  <c r="AJ412" i="41" s="1"/>
  <c r="K249" i="41"/>
  <c r="K403" i="41"/>
  <c r="K250" i="41"/>
  <c r="K405" i="41"/>
  <c r="AJ267" i="41"/>
  <c r="AN249" i="41"/>
  <c r="AN274" i="41"/>
  <c r="AK272" i="41"/>
  <c r="AN272" i="41"/>
  <c r="AK404" i="41"/>
  <c r="AK413" i="41" s="1"/>
  <c r="AN273" i="41"/>
  <c r="AJ251" i="41"/>
  <c r="AJ404" i="41"/>
  <c r="AJ413" i="41" s="1"/>
  <c r="AN250" i="41"/>
  <c r="AN403" i="41"/>
  <c r="AN412" i="41" s="1"/>
  <c r="AN251" i="41"/>
  <c r="AN404" i="41"/>
  <c r="AN413" i="41" s="1"/>
  <c r="AN33" i="65" s="1"/>
  <c r="AN111" i="65" s="1"/>
  <c r="AL33" i="82" s="1"/>
  <c r="AJ269" i="41"/>
  <c r="AN267" i="41"/>
  <c r="AN405" i="41"/>
  <c r="AN414" i="41" s="1"/>
  <c r="AN34" i="65" s="1"/>
  <c r="AN112" i="65" s="1"/>
  <c r="AL34" i="82" s="1"/>
  <c r="AJ272" i="41"/>
  <c r="AN268" i="41"/>
  <c r="AL274" i="41"/>
  <c r="AJ273" i="41"/>
  <c r="AK251" i="41"/>
  <c r="AJ249" i="4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3" i="82" s="1"/>
  <c r="AL251" i="41"/>
  <c r="AL268" i="41"/>
  <c r="AL405" i="41"/>
  <c r="AL414" i="41" s="1"/>
  <c r="AL34" i="65" s="1"/>
  <c r="AL112" i="65" s="1"/>
  <c r="AK34" i="82" s="1"/>
  <c r="AL269" i="41"/>
  <c r="AL273" i="41"/>
  <c r="AG267" i="41"/>
  <c r="AG273" i="41"/>
  <c r="AG278" i="41" s="1"/>
  <c r="AG283" i="41" s="1"/>
  <c r="AG405" i="41"/>
  <c r="AG249" i="41"/>
  <c r="AG268" i="41"/>
  <c r="K108" i="105"/>
  <c r="K118" i="105"/>
  <c r="AI118" i="105"/>
  <c r="AN118" i="105"/>
  <c r="AI33" i="65"/>
  <c r="AI111" i="65" s="1"/>
  <c r="AI33" i="82" s="1"/>
  <c r="AO34" i="65"/>
  <c r="AO112" i="65" s="1"/>
  <c r="AO123" i="65" s="1"/>
  <c r="AO152" i="65" s="1"/>
  <c r="AO57" i="105" s="1"/>
  <c r="AO97" i="105" s="1"/>
  <c r="AI34" i="65"/>
  <c r="AI112" i="65" s="1"/>
  <c r="AI34" i="82" s="1"/>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3" i="82" s="1"/>
  <c r="Q33" i="65"/>
  <c r="Q111" i="65" s="1"/>
  <c r="W33" i="65"/>
  <c r="W111" i="65" s="1"/>
  <c r="W33" i="82" s="1"/>
  <c r="AJ34" i="65"/>
  <c r="AJ112" i="65" s="1"/>
  <c r="AJ34" i="82" s="1"/>
  <c r="AH34" i="65"/>
  <c r="AH112" i="65" s="1"/>
  <c r="AH34"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3" i="82" s="1"/>
  <c r="AB33" i="65"/>
  <c r="AB111" i="65" s="1"/>
  <c r="AB33"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35" i="82" s="1"/>
  <c r="AE224" i="41"/>
  <c r="M224" i="41"/>
  <c r="M415" i="41" s="1"/>
  <c r="M35" i="65" s="1"/>
  <c r="M113" i="65" s="1"/>
  <c r="M35" i="82" s="1"/>
  <c r="AH140" i="65"/>
  <c r="AH169" i="65" s="1"/>
  <c r="AH74" i="105" s="1"/>
  <c r="AH194" i="105" s="1"/>
  <c r="AH131" i="65"/>
  <c r="AH160" i="65" s="1"/>
  <c r="AH65" i="105" s="1"/>
  <c r="AH183" i="105" s="1"/>
  <c r="AH122" i="65"/>
  <c r="AH151" i="65" s="1"/>
  <c r="AH56" i="105" s="1"/>
  <c r="AH96" i="105" s="1"/>
  <c r="Q140" i="65"/>
  <c r="Q169" i="65" s="1"/>
  <c r="Q74" i="105" s="1"/>
  <c r="Q194" i="105" s="1"/>
  <c r="Q33" i="82"/>
  <c r="AK122" i="65"/>
  <c r="AK151" i="65" s="1"/>
  <c r="AK56" i="105" s="1"/>
  <c r="AK96" i="105" s="1"/>
  <c r="Q139" i="65"/>
  <c r="Q168" i="65" s="1"/>
  <c r="Q73" i="105" s="1"/>
  <c r="Q193" i="105" s="1"/>
  <c r="Q32"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2" i="82" s="1"/>
  <c r="Q121" i="65"/>
  <c r="Q150" i="65" s="1"/>
  <c r="Q55" i="105" s="1"/>
  <c r="Q95" i="105" s="1"/>
  <c r="Q130" i="65"/>
  <c r="Q159" i="65" s="1"/>
  <c r="Q64" i="105" s="1"/>
  <c r="Q182" i="105" s="1"/>
  <c r="R32" i="65"/>
  <c r="R110" i="65" s="1"/>
  <c r="AB140" i="65"/>
  <c r="AB169" i="65" s="1"/>
  <c r="AB74" i="105" s="1"/>
  <c r="AB116" i="105" s="1"/>
  <c r="W122" i="65"/>
  <c r="W151" i="65" s="1"/>
  <c r="W56" i="105" s="1"/>
  <c r="W96" i="105" s="1"/>
  <c r="W140" i="65"/>
  <c r="W169" i="65" s="1"/>
  <c r="W74" i="105" s="1"/>
  <c r="W116" i="105" s="1"/>
  <c r="L140" i="65"/>
  <c r="L169" i="65" s="1"/>
  <c r="L74" i="105" s="1"/>
  <c r="L116" i="105" s="1"/>
  <c r="L131" i="65"/>
  <c r="L160" i="65" s="1"/>
  <c r="L65" i="105" s="1"/>
  <c r="L106" i="105" s="1"/>
  <c r="L122" i="65"/>
  <c r="L151" i="65" s="1"/>
  <c r="L56" i="105" s="1"/>
  <c r="L96" i="105" s="1"/>
  <c r="AJ32" i="65"/>
  <c r="AJ110" i="65" s="1"/>
  <c r="AJ32" i="82" s="1"/>
  <c r="AB122" i="65"/>
  <c r="AB151" i="65" s="1"/>
  <c r="AB56" i="105" s="1"/>
  <c r="AB96" i="105" s="1"/>
  <c r="AO32" i="65"/>
  <c r="AO110" i="65" s="1"/>
  <c r="AO121" i="65" s="1"/>
  <c r="AO150" i="65" s="1"/>
  <c r="AO55" i="105" s="1"/>
  <c r="AH32" i="65"/>
  <c r="AH110" i="65" s="1"/>
  <c r="AH32" i="82" s="1"/>
  <c r="AN32" i="65"/>
  <c r="AN110" i="65" s="1"/>
  <c r="AL32" i="82" s="1"/>
  <c r="AL32" i="65"/>
  <c r="AL110" i="65" s="1"/>
  <c r="AK32" i="82" s="1"/>
  <c r="Q34" i="65"/>
  <c r="Q112" i="65" s="1"/>
  <c r="Q34" i="82" s="1"/>
  <c r="AI32" i="65"/>
  <c r="AI110" i="65" s="1"/>
  <c r="AI32" i="82" s="1"/>
  <c r="AM32" i="65"/>
  <c r="AM110" i="65" s="1"/>
  <c r="AM121" i="65" s="1"/>
  <c r="AM150" i="65" s="1"/>
  <c r="AM55" i="105" s="1"/>
  <c r="AK32" i="65"/>
  <c r="AK110" i="65" s="1"/>
  <c r="AI159" i="65"/>
  <c r="AI64" i="105" s="1"/>
  <c r="AM168" i="65"/>
  <c r="AM73" i="105" s="1"/>
  <c r="AM115" i="105" s="1"/>
  <c r="AM122" i="105" s="1"/>
  <c r="AO168" i="65"/>
  <c r="AO73" i="105" s="1"/>
  <c r="AO115" i="105" s="1"/>
  <c r="AO122" i="105" s="1"/>
  <c r="AN300" i="41" l="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35" i="82"/>
  <c r="AD142" i="65"/>
  <c r="AD171" i="65" s="1"/>
  <c r="AD76" i="105" s="1"/>
  <c r="AD196" i="105" s="1"/>
  <c r="AF35" i="82"/>
  <c r="AF142" i="65"/>
  <c r="AF171" i="65" s="1"/>
  <c r="AF76" i="105" s="1"/>
  <c r="AF196" i="105" s="1"/>
  <c r="AD226" i="41"/>
  <c r="AD228" i="41" s="1"/>
  <c r="AD424" i="41" s="1"/>
  <c r="T226" i="41"/>
  <c r="T228" i="41" s="1"/>
  <c r="T424" i="41" s="1"/>
  <c r="J226" i="41"/>
  <c r="J228" i="41" s="1"/>
  <c r="J424" i="41" s="1"/>
  <c r="J415" i="41"/>
  <c r="J35" i="65" s="1"/>
  <c r="J113" i="65" s="1"/>
  <c r="J35"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35" i="82" s="1"/>
  <c r="AE226" i="41"/>
  <c r="AE228" i="41" s="1"/>
  <c r="AE424" i="41" s="1"/>
  <c r="AE415" i="41"/>
  <c r="AE35" i="65" s="1"/>
  <c r="AE113" i="65" s="1"/>
  <c r="AE35"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35" i="82"/>
  <c r="Z142" i="65"/>
  <c r="Z171" i="65" s="1"/>
  <c r="Z76" i="105" s="1"/>
  <c r="Z196" i="105" s="1"/>
  <c r="AC35" i="82"/>
  <c r="AC142" i="65"/>
  <c r="AC171" i="65" s="1"/>
  <c r="AC76" i="105" s="1"/>
  <c r="AC196" i="105" s="1"/>
  <c r="P35" i="82"/>
  <c r="P124" i="65"/>
  <c r="P153" i="65" s="1"/>
  <c r="P58" i="105" s="1"/>
  <c r="P98" i="105" s="1"/>
  <c r="P142" i="65"/>
  <c r="P171" i="65" s="1"/>
  <c r="P76" i="105" s="1"/>
  <c r="P196" i="105" s="1"/>
  <c r="O35"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35" i="82"/>
  <c r="T133" i="65"/>
  <c r="T162" i="65" s="1"/>
  <c r="T67" i="105" s="1"/>
  <c r="T185" i="105" s="1"/>
  <c r="T124" i="65"/>
  <c r="T153" i="65" s="1"/>
  <c r="T58" i="105" s="1"/>
  <c r="T98" i="105" s="1"/>
  <c r="T142" i="65"/>
  <c r="T171" i="65" s="1"/>
  <c r="T76" i="105" s="1"/>
  <c r="T196" i="105" s="1"/>
  <c r="Y35" i="82"/>
  <c r="Y142" i="65"/>
  <c r="Y171" i="65" s="1"/>
  <c r="Y76" i="105" s="1"/>
  <c r="Y196" i="105" s="1"/>
  <c r="Y124" i="65"/>
  <c r="Y153" i="65" s="1"/>
  <c r="Y58" i="105" s="1"/>
  <c r="Y98" i="105" s="1"/>
  <c r="AH106" i="105"/>
  <c r="AI182" i="105"/>
  <c r="AI189" i="105" s="1"/>
  <c r="AI105" i="105"/>
  <c r="AI112" i="105" s="1"/>
  <c r="Q116" i="105"/>
  <c r="W121" i="65"/>
  <c r="W150" i="65" s="1"/>
  <c r="W55" i="105" s="1"/>
  <c r="W95" i="105" s="1"/>
  <c r="W32" i="82"/>
  <c r="L139" i="65"/>
  <c r="L168" i="65" s="1"/>
  <c r="L73" i="105" s="1"/>
  <c r="L115" i="105" s="1"/>
  <c r="L32" i="82"/>
  <c r="Q115" i="105"/>
  <c r="AK121" i="65"/>
  <c r="AK150" i="65" s="1"/>
  <c r="AK55" i="105" s="1"/>
  <c r="AK95" i="105" s="1"/>
  <c r="AK102" i="105" s="1"/>
  <c r="R139" i="65"/>
  <c r="R168" i="65" s="1"/>
  <c r="R73" i="105" s="1"/>
  <c r="R115" i="105" s="1"/>
  <c r="R32" i="82"/>
  <c r="Q105" i="105"/>
  <c r="AO95" i="105"/>
  <c r="AO102" i="105" s="1"/>
  <c r="AH117" i="105"/>
  <c r="AJ107" i="105"/>
  <c r="AM95" i="105"/>
  <c r="AM102" i="105" s="1"/>
  <c r="AH107" i="105"/>
  <c r="Q106" i="105"/>
  <c r="AJ117" i="105"/>
  <c r="L130" i="65"/>
  <c r="L159" i="65" s="1"/>
  <c r="L64" i="105" s="1"/>
  <c r="L105" i="105" s="1"/>
  <c r="W139" i="65"/>
  <c r="W168" i="65" s="1"/>
  <c r="W73" i="105" s="1"/>
  <c r="W115" i="105" s="1"/>
  <c r="AB139" i="65"/>
  <c r="AB168" i="65" s="1"/>
  <c r="AB73" i="105" s="1"/>
  <c r="AB115" i="105" s="1"/>
  <c r="L121" i="65"/>
  <c r="L150" i="65" s="1"/>
  <c r="L55" i="105" s="1"/>
  <c r="L95" i="105" s="1"/>
  <c r="AB121" i="65"/>
  <c r="AB150" i="65" s="1"/>
  <c r="AB55" i="105" s="1"/>
  <c r="AB95" i="105" s="1"/>
  <c r="R121" i="65"/>
  <c r="R150" i="65" s="1"/>
  <c r="R55" i="105" s="1"/>
  <c r="R95" i="105" s="1"/>
  <c r="R130" i="65"/>
  <c r="R159" i="65" s="1"/>
  <c r="R64"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H174"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AN174"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74" i="105" s="1"/>
  <c r="AL139" i="65"/>
  <c r="AL168" i="65" s="1"/>
  <c r="AL73" i="105" s="1"/>
  <c r="AL193" i="105" s="1"/>
  <c r="AL200" i="105" s="1"/>
  <c r="W34" i="65"/>
  <c r="W112" i="65" s="1"/>
  <c r="W34" i="82" s="1"/>
  <c r="AB34" i="65"/>
  <c r="AB112" i="65" s="1"/>
  <c r="R34" i="65"/>
  <c r="R112" i="65" s="1"/>
  <c r="R34" i="82" s="1"/>
  <c r="L34" i="65"/>
  <c r="L112" i="65" s="1"/>
  <c r="U124" i="65" l="1"/>
  <c r="U153" i="65" s="1"/>
  <c r="U58" i="105" s="1"/>
  <c r="U98" i="105" s="1"/>
  <c r="AD118" i="105"/>
  <c r="N293" i="41"/>
  <c r="N295" i="41" s="1"/>
  <c r="U142" i="65"/>
  <c r="U171" i="65" s="1"/>
  <c r="U76" i="105" s="1"/>
  <c r="U196" i="105" s="1"/>
  <c r="N237" i="41"/>
  <c r="N249" i="41" s="1"/>
  <c r="N267" i="41"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35" i="82"/>
  <c r="AA293" i="41"/>
  <c r="AA295" i="41" s="1"/>
  <c r="S237" i="41"/>
  <c r="S249" i="41" s="1"/>
  <c r="S267" i="41" s="1"/>
  <c r="S272" i="41" s="1"/>
  <c r="AE142" i="65"/>
  <c r="AE171" i="65" s="1"/>
  <c r="AE76" i="105" s="1"/>
  <c r="V35" i="82"/>
  <c r="V124" i="65"/>
  <c r="V153" i="65" s="1"/>
  <c r="V58" i="105" s="1"/>
  <c r="V98" i="105" s="1"/>
  <c r="V142" i="65"/>
  <c r="V171" i="65" s="1"/>
  <c r="V76" i="105" s="1"/>
  <c r="S35" i="82"/>
  <c r="S124" i="65"/>
  <c r="S153" i="65" s="1"/>
  <c r="S58" i="105" s="1"/>
  <c r="S98" i="105" s="1"/>
  <c r="J124" i="65"/>
  <c r="J153" i="65" s="1"/>
  <c r="J58" i="105" s="1"/>
  <c r="J98" i="105" s="1"/>
  <c r="S133" i="65"/>
  <c r="S162" i="65" s="1"/>
  <c r="S67" i="105" s="1"/>
  <c r="P237" i="41"/>
  <c r="P251" i="41" s="1"/>
  <c r="P269" i="41" s="1"/>
  <c r="H230" i="41"/>
  <c r="X35"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34" i="82"/>
  <c r="AB141" i="65"/>
  <c r="AB170" i="65" s="1"/>
  <c r="AB75" i="105" s="1"/>
  <c r="AB117" i="105" s="1"/>
  <c r="AB122" i="105" s="1"/>
  <c r="AB34" i="82"/>
  <c r="AN146" i="105"/>
  <c r="AL63" i="82" s="1"/>
  <c r="AL65" i="82"/>
  <c r="AN140" i="105"/>
  <c r="AI140" i="105"/>
  <c r="AI146" i="105"/>
  <c r="AI63" i="82" s="1"/>
  <c r="AI65" i="82"/>
  <c r="AL140" i="105"/>
  <c r="AL146" i="105"/>
  <c r="AK63" i="82" s="1"/>
  <c r="AK65" i="82"/>
  <c r="AH140" i="105"/>
  <c r="AH146" i="105"/>
  <c r="AH63" i="82" s="1"/>
  <c r="AH65" i="82"/>
  <c r="Q107" i="105"/>
  <c r="Q112" i="105" s="1"/>
  <c r="AL115" i="105"/>
  <c r="AL122" i="105" s="1"/>
  <c r="Q117" i="105"/>
  <c r="Q122" i="105" s="1"/>
  <c r="AN115" i="105"/>
  <c r="AN122" i="105" s="1"/>
  <c r="AJ115" i="105"/>
  <c r="R105" i="105"/>
  <c r="AJ105" i="105"/>
  <c r="AI115" i="105"/>
  <c r="AI122" i="105" s="1"/>
  <c r="AH105" i="105"/>
  <c r="AH112" i="105" s="1"/>
  <c r="Q97" i="105"/>
  <c r="Q102" i="105" s="1"/>
  <c r="Q174" i="105" s="1"/>
  <c r="AH115" i="105"/>
  <c r="AH122" i="105" s="1"/>
  <c r="AG34" i="65"/>
  <c r="AG112" i="65" s="1"/>
  <c r="AG34" i="82" s="1"/>
  <c r="R141" i="65"/>
  <c r="R170" i="65" s="1"/>
  <c r="R75" i="105" s="1"/>
  <c r="R117" i="105" s="1"/>
  <c r="R123" i="65"/>
  <c r="R152" i="65" s="1"/>
  <c r="R57" i="105" s="1"/>
  <c r="R97" i="105" s="1"/>
  <c r="L141" i="65"/>
  <c r="L170" i="65" s="1"/>
  <c r="L75" i="105" s="1"/>
  <c r="L117" i="105" s="1"/>
  <c r="L122" i="105" s="1"/>
  <c r="W123" i="65"/>
  <c r="W152" i="65" s="1"/>
  <c r="W57" i="105" s="1"/>
  <c r="W141" i="65"/>
  <c r="W170" i="65" s="1"/>
  <c r="W75" i="105" s="1"/>
  <c r="W117" i="105" s="1"/>
  <c r="W122" i="105" s="1"/>
  <c r="R132" i="65"/>
  <c r="R161" i="65" s="1"/>
  <c r="R66" i="105" s="1"/>
  <c r="AB123" i="65"/>
  <c r="AB152" i="65" s="1"/>
  <c r="AB57" i="105" s="1"/>
  <c r="L132" i="65"/>
  <c r="L161" i="65" s="1"/>
  <c r="L66" i="105" s="1"/>
  <c r="L107" i="105" s="1"/>
  <c r="L112" i="105" s="1"/>
  <c r="N250" i="41" l="1"/>
  <c r="N268" i="41" s="1"/>
  <c r="N251" i="41"/>
  <c r="N269" i="41" s="1"/>
  <c r="N274" i="41" s="1"/>
  <c r="X249" i="41"/>
  <c r="X267" i="41" s="1"/>
  <c r="X272" i="41" s="1"/>
  <c r="T249" i="41"/>
  <c r="T267" i="41" s="1"/>
  <c r="T272" i="41" s="1"/>
  <c r="T250" i="41"/>
  <c r="T268" i="41" s="1"/>
  <c r="T273" i="41" s="1"/>
  <c r="U118" i="105"/>
  <c r="AC249" i="41"/>
  <c r="AC267" i="41" s="1"/>
  <c r="J250" i="41"/>
  <c r="J268" i="41" s="1"/>
  <c r="J273" i="41" s="1"/>
  <c r="J278" i="41" s="1"/>
  <c r="J283" i="41" s="1"/>
  <c r="J251" i="41"/>
  <c r="J269" i="41" s="1"/>
  <c r="U108" i="105"/>
  <c r="AC250" i="41"/>
  <c r="AC268" i="41" s="1"/>
  <c r="AC273" i="41" s="1"/>
  <c r="M249" i="41"/>
  <c r="M267" i="41" s="1"/>
  <c r="M272" i="41" s="1"/>
  <c r="M250" i="41"/>
  <c r="M268" i="41" s="1"/>
  <c r="M273" i="41" s="1"/>
  <c r="X250" i="41"/>
  <c r="X268" i="41" s="1"/>
  <c r="X273" i="41" s="1"/>
  <c r="S250" i="41"/>
  <c r="S268" i="41" s="1"/>
  <c r="S273" i="41" s="1"/>
  <c r="AE249" i="41"/>
  <c r="AE267" i="41" s="1"/>
  <c r="AE272" i="41" s="1"/>
  <c r="AF249" i="41"/>
  <c r="AF267" i="41" s="1"/>
  <c r="AF272" i="41" s="1"/>
  <c r="Z250" i="41"/>
  <c r="Z268" i="41" s="1"/>
  <c r="Z273" i="41" s="1"/>
  <c r="AE250" i="41"/>
  <c r="AE268" i="41" s="1"/>
  <c r="AE273" i="41" s="1"/>
  <c r="AF250" i="41"/>
  <c r="AF268" i="41" s="1"/>
  <c r="AF273" i="41" s="1"/>
  <c r="Z251" i="41"/>
  <c r="Z269" i="41" s="1"/>
  <c r="Z274" i="41" s="1"/>
  <c r="Y249" i="41"/>
  <c r="Y267" i="41" s="1"/>
  <c r="Y272" i="41" s="1"/>
  <c r="U249" i="41"/>
  <c r="U267" i="41" s="1"/>
  <c r="U272" i="41" s="1"/>
  <c r="Y250" i="41"/>
  <c r="Y268" i="41" s="1"/>
  <c r="Y273" i="41" s="1"/>
  <c r="U250" i="41"/>
  <c r="U268" i="41" s="1"/>
  <c r="U273" i="41" s="1"/>
  <c r="AD249" i="41"/>
  <c r="AD267" i="41" s="1"/>
  <c r="AD272" i="41" s="1"/>
  <c r="AD250" i="41"/>
  <c r="AD268" i="41" s="1"/>
  <c r="AD273" i="41" s="1"/>
  <c r="AD278" i="41" s="1"/>
  <c r="AD283" i="41" s="1"/>
  <c r="AK62" i="82"/>
  <c r="AL207" i="105"/>
  <c r="AK74" i="82" s="1"/>
  <c r="AI62" i="82"/>
  <c r="AI207" i="105"/>
  <c r="AI74" i="82" s="1"/>
  <c r="AL62" i="82"/>
  <c r="AN207" i="105"/>
  <c r="AL74" i="82" s="1"/>
  <c r="AH62" i="82"/>
  <c r="AH206" i="105"/>
  <c r="AH73" i="82" s="1"/>
  <c r="AH207" i="105"/>
  <c r="AH74" i="82" s="1"/>
  <c r="V251" i="41"/>
  <c r="V269" i="41" s="1"/>
  <c r="V274" i="41" s="1"/>
  <c r="AA249" i="41"/>
  <c r="AA267" i="41" s="1"/>
  <c r="O249" i="41"/>
  <c r="O267" i="41" s="1"/>
  <c r="O272" i="41" s="1"/>
  <c r="O250" i="41"/>
  <c r="O268" i="41" s="1"/>
  <c r="O273" i="41" s="1"/>
  <c r="V249" i="41"/>
  <c r="V267" i="41" s="1"/>
  <c r="V272" i="41" s="1"/>
  <c r="AA118" i="105"/>
  <c r="S251" i="41"/>
  <c r="S269" i="41" s="1"/>
  <c r="S274" i="41" s="1"/>
  <c r="P249" i="41"/>
  <c r="P267" i="41" s="1"/>
  <c r="P272" i="41" s="1"/>
  <c r="H98" i="105"/>
  <c r="AA250" i="41"/>
  <c r="AA268" i="41" s="1"/>
  <c r="AA273" i="41" s="1"/>
  <c r="S185" i="105"/>
  <c r="S108" i="105"/>
  <c r="AE196" i="105"/>
  <c r="AE118" i="105"/>
  <c r="J118" i="105"/>
  <c r="P250" i="41"/>
  <c r="P268" i="41" s="1"/>
  <c r="P273" i="41" s="1"/>
  <c r="P274" i="41"/>
  <c r="J108" i="105"/>
  <c r="V196" i="105"/>
  <c r="V118" i="105"/>
  <c r="AD274" i="41"/>
  <c r="AA272" i="41"/>
  <c r="AC272" i="41"/>
  <c r="V273" i="41"/>
  <c r="AC274" i="41"/>
  <c r="Z272" i="41"/>
  <c r="AE274" i="41"/>
  <c r="AE279" i="41" s="1"/>
  <c r="AE284" i="41" s="1"/>
  <c r="AE362" i="41" s="1"/>
  <c r="O274" i="41"/>
  <c r="O279" i="41" s="1"/>
  <c r="O284" i="41" s="1"/>
  <c r="O362" i="41" s="1"/>
  <c r="U274" i="41"/>
  <c r="T279" i="41" s="1"/>
  <c r="T284" i="41" s="1"/>
  <c r="T362" i="41" s="1"/>
  <c r="N272" i="41"/>
  <c r="Y279" i="41"/>
  <c r="Y284" i="41" s="1"/>
  <c r="Y362" i="41" s="1"/>
  <c r="N273" i="41"/>
  <c r="L65" i="82"/>
  <c r="Q146" i="105"/>
  <c r="Q63" i="82" s="1"/>
  <c r="Q140" i="105"/>
  <c r="Q65" i="82"/>
  <c r="R107" i="105"/>
  <c r="W97" i="105"/>
  <c r="W102" i="105" s="1"/>
  <c r="AB97" i="105"/>
  <c r="AB102" i="105" s="1"/>
  <c r="AB65" i="82" s="1"/>
  <c r="AG123" i="65"/>
  <c r="AG152" i="65" s="1"/>
  <c r="AG57" i="105" s="1"/>
  <c r="AG97" i="105" s="1"/>
  <c r="AG141" i="65"/>
  <c r="AG170" i="65" s="1"/>
  <c r="AG75" i="105" s="1"/>
  <c r="AG195" i="105" s="1"/>
  <c r="AG132" i="65"/>
  <c r="AG161" i="65" s="1"/>
  <c r="AG66" i="105" s="1"/>
  <c r="AG184" i="105" s="1"/>
  <c r="AC279" i="41" l="1"/>
  <c r="AC284" i="41" s="1"/>
  <c r="AC362" i="41" s="1"/>
  <c r="N278" i="41"/>
  <c r="N283" i="41" s="1"/>
  <c r="AC278" i="41"/>
  <c r="AC283" i="41" s="1"/>
  <c r="AD277" i="41"/>
  <c r="AD282" i="41" s="1"/>
  <c r="N277" i="41"/>
  <c r="N282" i="41" s="1"/>
  <c r="S277" i="41"/>
  <c r="S282" i="41" s="1"/>
  <c r="Y278" i="41"/>
  <c r="Y283" i="41" s="1"/>
  <c r="Y330" i="41" s="1"/>
  <c r="X277" i="41"/>
  <c r="X282" i="41" s="1"/>
  <c r="Z278" i="41"/>
  <c r="Z283" i="41" s="1"/>
  <c r="N279" i="41"/>
  <c r="N284" i="41" s="1"/>
  <c r="N362" i="41" s="1"/>
  <c r="P279" i="41"/>
  <c r="P284" i="41" s="1"/>
  <c r="P362" i="41" s="1"/>
  <c r="AC277" i="41"/>
  <c r="AC282" i="41" s="1"/>
  <c r="AF277" i="41"/>
  <c r="AF282" i="41" s="1"/>
  <c r="M278" i="41"/>
  <c r="M283" i="41" s="1"/>
  <c r="P278" i="41"/>
  <c r="P283" i="41" s="1"/>
  <c r="P277" i="41"/>
  <c r="P282" i="41" s="1"/>
  <c r="O278" i="41"/>
  <c r="O283" i="41" s="1"/>
  <c r="O330" i="41" s="1"/>
  <c r="AF278" i="41"/>
  <c r="AF283" i="41" s="1"/>
  <c r="AE277" i="41"/>
  <c r="AE282" i="41" s="1"/>
  <c r="M277" i="41"/>
  <c r="M282" i="41" s="1"/>
  <c r="M279" i="41"/>
  <c r="M284" i="41" s="1"/>
  <c r="M362" i="41" s="1"/>
  <c r="M364" i="41" s="1"/>
  <c r="M366" i="41" s="1"/>
  <c r="AD279" i="41"/>
  <c r="AD284" i="41" s="1"/>
  <c r="AD362" i="41" s="1"/>
  <c r="AD364" i="41" s="1"/>
  <c r="AD366" i="41" s="1"/>
  <c r="O277" i="41"/>
  <c r="O282" i="41" s="1"/>
  <c r="AE278" i="41"/>
  <c r="AE283" i="41" s="1"/>
  <c r="AE330" i="41" s="1"/>
  <c r="S278" i="41"/>
  <c r="S283" i="41" s="1"/>
  <c r="AF279" i="41"/>
  <c r="AF284" i="41" s="1"/>
  <c r="AF362" i="41" s="1"/>
  <c r="AF364" i="41" s="1"/>
  <c r="AF366" i="41" s="1"/>
  <c r="U277" i="41"/>
  <c r="U282" i="41" s="1"/>
  <c r="X278" i="41"/>
  <c r="X283" i="41" s="1"/>
  <c r="U278" i="41"/>
  <c r="U283" i="41" s="1"/>
  <c r="AD257" i="41" a="1"/>
  <c r="AD257" i="41" s="1"/>
  <c r="AD262" i="41" s="1"/>
  <c r="AD258" i="41" a="1"/>
  <c r="AD258" i="41" s="1"/>
  <c r="AD263" i="41" s="1"/>
  <c r="AJ258" i="41" a="1"/>
  <c r="AJ258" i="41" s="1"/>
  <c r="AJ263" i="41" s="1"/>
  <c r="AJ399" i="41" s="1"/>
  <c r="AC257" i="41" a="1"/>
  <c r="AC257" i="41" s="1"/>
  <c r="AC262"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98"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AC259" i="41" a="1"/>
  <c r="AC259" i="41" s="1"/>
  <c r="AC264" i="41" s="1"/>
  <c r="O259" i="41" a="1"/>
  <c r="O259" i="41" s="1"/>
  <c r="O264" i="41" s="1"/>
  <c r="R259" i="41" a="1"/>
  <c r="R259" i="41" s="1"/>
  <c r="R264" i="41" s="1"/>
  <c r="R400" i="41" s="1"/>
  <c r="AK259" i="41" a="1"/>
  <c r="AK259" i="41" s="1"/>
  <c r="AK264" i="41" s="1"/>
  <c r="AK400" i="41" s="1"/>
  <c r="Y257" i="41" a="1"/>
  <c r="Y257" i="41" s="1"/>
  <c r="Y262" i="41" s="1"/>
  <c r="Q62" i="82"/>
  <c r="Q206" i="105"/>
  <c r="Q73" i="82" s="1"/>
  <c r="Q207" i="105"/>
  <c r="Q74" i="82"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V257" i="41" a="1"/>
  <c r="V257" i="41" s="1"/>
  <c r="V262" i="41" s="1"/>
  <c r="P257" i="41" a="1"/>
  <c r="P257" i="41" s="1"/>
  <c r="P262" i="41" s="1"/>
  <c r="S257" i="41" a="1"/>
  <c r="S257" i="41" s="1"/>
  <c r="S262" i="41" s="1"/>
  <c r="S321" i="41" s="1"/>
  <c r="S323" i="41" s="1"/>
  <c r="U257" i="41" a="1"/>
  <c r="U257" i="41" s="1"/>
  <c r="U262" i="41" s="1"/>
  <c r="AI257" i="41" a="1"/>
  <c r="AI257" i="41" s="1"/>
  <c r="AI262" i="41" s="1"/>
  <c r="AI353" i="41" s="1"/>
  <c r="AI355" i="41" s="1"/>
  <c r="AO257" i="41" a="1"/>
  <c r="AO257" i="41" s="1"/>
  <c r="AO262" i="41" s="1"/>
  <c r="AB257" i="41" a="1"/>
  <c r="AB257" i="41" s="1"/>
  <c r="AB262" i="41" s="1"/>
  <c r="AB321" i="41" s="1"/>
  <c r="AB323" i="41" s="1"/>
  <c r="M258" i="41" a="1"/>
  <c r="M258" i="41" s="1"/>
  <c r="M263" i="41" s="1"/>
  <c r="AH258" i="41" a="1"/>
  <c r="AH258" i="41" s="1"/>
  <c r="AH263" i="41" s="1"/>
  <c r="AH399"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AC298" i="41"/>
  <c r="H108" i="105"/>
  <c r="AA279" i="41"/>
  <c r="AA284" i="41" s="1"/>
  <c r="AA362" i="41" s="1"/>
  <c r="V279" i="41"/>
  <c r="V284" i="41" s="1"/>
  <c r="V362" i="41" s="1"/>
  <c r="Y277" i="41"/>
  <c r="Y282" i="41" s="1"/>
  <c r="T277" i="41"/>
  <c r="T282" i="41" s="1"/>
  <c r="Z277" i="41"/>
  <c r="Z282" i="41" s="1"/>
  <c r="AA278" i="41"/>
  <c r="AA283" i="41" s="1"/>
  <c r="V278" i="41"/>
  <c r="V283" i="41" s="1"/>
  <c r="V277" i="41"/>
  <c r="V282" i="41" s="1"/>
  <c r="S279" i="41"/>
  <c r="S284" i="41" s="1"/>
  <c r="S362" i="41" s="1"/>
  <c r="X279" i="41"/>
  <c r="X284" i="41" s="1"/>
  <c r="X362" i="41" s="1"/>
  <c r="J274" i="41"/>
  <c r="J279" i="41" s="1"/>
  <c r="J284" i="41" s="1"/>
  <c r="U279" i="41"/>
  <c r="U284" i="41" s="1"/>
  <c r="U362" i="41" s="1"/>
  <c r="Z279" i="41"/>
  <c r="Z284" i="41" s="1"/>
  <c r="Z362" i="41" s="1"/>
  <c r="W65" i="82"/>
  <c r="AG107" i="105"/>
  <c r="AG117" i="105"/>
  <c r="K33" i="65"/>
  <c r="K111" i="65" s="1"/>
  <c r="K32" i="65"/>
  <c r="K110" i="65" s="1"/>
  <c r="AC330" i="41" l="1"/>
  <c r="AC364" i="41"/>
  <c r="AC366" i="41" s="1"/>
  <c r="L398" i="41"/>
  <c r="L422" i="41" s="1"/>
  <c r="L426" i="41" s="1"/>
  <c r="Y298" i="41"/>
  <c r="P321" i="41"/>
  <c r="P323" i="41" s="1"/>
  <c r="AC321" i="41"/>
  <c r="AC323" i="41" s="1"/>
  <c r="N321" i="41"/>
  <c r="N323" i="41" s="1"/>
  <c r="P364" i="41"/>
  <c r="P366" i="41" s="1"/>
  <c r="T364" i="41"/>
  <c r="T366" i="41" s="1"/>
  <c r="AD298" i="41"/>
  <c r="AD300" i="41" s="1"/>
  <c r="AD302" i="41" s="1"/>
  <c r="AD304" i="41" s="1"/>
  <c r="R398" i="41"/>
  <c r="R422" i="41" s="1"/>
  <c r="R426" i="41" s="1"/>
  <c r="AH321" i="41"/>
  <c r="AH323" i="41" s="1"/>
  <c r="AK321" i="41"/>
  <c r="AK323" i="41" s="1"/>
  <c r="O298" i="41"/>
  <c r="AE298" i="41"/>
  <c r="AF321" i="41"/>
  <c r="AF323" i="41" s="1"/>
  <c r="P330" i="41"/>
  <c r="AD353" i="41"/>
  <c r="AD355" i="41" s="1"/>
  <c r="N298" i="41"/>
  <c r="P298" i="41"/>
  <c r="U321" i="41"/>
  <c r="U323" i="41" s="1"/>
  <c r="AD321" i="41"/>
  <c r="AD323" i="41" s="1"/>
  <c r="AD325" i="41" s="1"/>
  <c r="AD327" i="41" s="1"/>
  <c r="AD330" i="41"/>
  <c r="AD332" i="41" s="1"/>
  <c r="AD334" i="41" s="1"/>
  <c r="AI398" i="41"/>
  <c r="AI422" i="41" s="1"/>
  <c r="AI426" i="41" s="1"/>
  <c r="T298" i="41"/>
  <c r="O321" i="41"/>
  <c r="O323" i="41" s="1"/>
  <c r="AF330" i="41"/>
  <c r="AF332" i="41" s="1"/>
  <c r="AF334" i="41" s="1"/>
  <c r="AJ353" i="41"/>
  <c r="AJ355" i="41" s="1"/>
  <c r="AF298" i="41"/>
  <c r="V330" i="41"/>
  <c r="N330" i="41"/>
  <c r="N332" i="41" s="1"/>
  <c r="N334" i="41" s="1"/>
  <c r="M330" i="41"/>
  <c r="M332" i="41" s="1"/>
  <c r="M334" i="41" s="1"/>
  <c r="AE332" i="41"/>
  <c r="AE334" i="41" s="1"/>
  <c r="M298" i="41"/>
  <c r="M300" i="41" s="1"/>
  <c r="M302" i="41" s="1"/>
  <c r="M304" i="41" s="1"/>
  <c r="M391" i="41" s="1"/>
  <c r="AE364" i="41"/>
  <c r="AE366" i="41" s="1"/>
  <c r="Y364" i="41"/>
  <c r="Y366" i="41" s="1"/>
  <c r="O364" i="41"/>
  <c r="O366" i="41" s="1"/>
  <c r="N364" i="41"/>
  <c r="N366" i="41" s="1"/>
  <c r="AA321" i="41"/>
  <c r="AA323" i="41" s="1"/>
  <c r="AM321" i="41"/>
  <c r="AM323" i="41" s="1"/>
  <c r="AG373" i="41"/>
  <c r="AG375" i="41" s="1"/>
  <c r="AG386" i="41" s="1"/>
  <c r="Q321" i="41"/>
  <c r="Q323" i="41" s="1"/>
  <c r="M321" i="41"/>
  <c r="M323" i="41" s="1"/>
  <c r="M325" i="41" s="1"/>
  <c r="M327" i="41" s="1"/>
  <c r="M353" i="41"/>
  <c r="M355" i="41" s="1"/>
  <c r="M357" i="41" s="1"/>
  <c r="M359" i="41" s="1"/>
  <c r="M368" i="41" s="1"/>
  <c r="M393" i="41" s="1"/>
  <c r="AL321" i="41"/>
  <c r="AL323" i="41" s="1"/>
  <c r="J353" i="41"/>
  <c r="J355" i="41" s="1"/>
  <c r="J357" i="41" s="1"/>
  <c r="J359" i="41" s="1"/>
  <c r="AC353" i="41"/>
  <c r="AC355" i="41" s="1"/>
  <c r="S353" i="41"/>
  <c r="S355" i="41" s="1"/>
  <c r="P353" i="41"/>
  <c r="P355" i="41" s="1"/>
  <c r="AN353" i="41"/>
  <c r="AN355" i="41" s="1"/>
  <c r="AO353" i="41"/>
  <c r="AO355" i="41" s="1"/>
  <c r="AB398" i="41"/>
  <c r="AB422" i="41" s="1"/>
  <c r="AB426" i="41" s="1"/>
  <c r="AN398" i="41"/>
  <c r="AN422" i="41" s="1"/>
  <c r="AN426" i="41" s="1"/>
  <c r="O353" i="41"/>
  <c r="O355" i="41" s="1"/>
  <c r="AG307" i="41"/>
  <c r="AN321" i="41"/>
  <c r="AN323" i="41" s="1"/>
  <c r="AG353" i="41"/>
  <c r="AG355" i="41" s="1"/>
  <c r="AG357" i="41" s="1"/>
  <c r="AG359" i="41" s="1"/>
  <c r="N353" i="41"/>
  <c r="N355" i="41" s="1"/>
  <c r="N357" i="41" s="1"/>
  <c r="N359" i="41" s="1"/>
  <c r="AF353" i="41"/>
  <c r="AF355" i="41" s="1"/>
  <c r="K353" i="41"/>
  <c r="K355"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X353" i="41"/>
  <c r="X355" i="41" s="1"/>
  <c r="Z321" i="41"/>
  <c r="Z323" i="41" s="1"/>
  <c r="AE321" i="41"/>
  <c r="AE323" i="41" s="1"/>
  <c r="Q422" i="41"/>
  <c r="Q426" i="41" s="1"/>
  <c r="AO321" i="41"/>
  <c r="AO323" i="41" s="1"/>
  <c r="X321" i="41"/>
  <c r="X323" i="41" s="1"/>
  <c r="AO398" i="41"/>
  <c r="AO422" i="41" s="1"/>
  <c r="AO426" i="41" s="1"/>
  <c r="AI321" i="41"/>
  <c r="AI323" i="41" s="1"/>
  <c r="W398" i="41"/>
  <c r="W422" i="41" s="1"/>
  <c r="W426" i="41" s="1"/>
  <c r="AK353" i="41"/>
  <c r="AK355" i="41" s="1"/>
  <c r="V321" i="41"/>
  <c r="V323" i="41" s="1"/>
  <c r="AG308" i="41"/>
  <c r="AA330" i="41"/>
  <c r="W353" i="41"/>
  <c r="W355" i="41" s="1"/>
  <c r="AM422" i="41"/>
  <c r="AM426" i="41" s="1"/>
  <c r="AH422" i="41"/>
  <c r="AH426" i="41" s="1"/>
  <c r="AM353" i="41"/>
  <c r="AM355" i="41" s="1"/>
  <c r="Y321" i="41"/>
  <c r="Y323" i="41" s="1"/>
  <c r="L353" i="41"/>
  <c r="L355" i="41" s="1"/>
  <c r="AB353" i="41"/>
  <c r="AB355" i="41" s="1"/>
  <c r="Y353" i="41"/>
  <c r="Y355" i="41" s="1"/>
  <c r="AG340" i="41"/>
  <c r="AK422" i="41"/>
  <c r="AK426" i="41" s="1"/>
  <c r="AL422" i="41"/>
  <c r="AL426" i="41" s="1"/>
  <c r="Q353" i="41"/>
  <c r="Q355" i="41" s="1"/>
  <c r="X330" i="41"/>
  <c r="AA353" i="41"/>
  <c r="AA355" i="41" s="1"/>
  <c r="T321" i="41"/>
  <c r="T323" i="41" s="1"/>
  <c r="Z298" i="41"/>
  <c r="T353" i="41"/>
  <c r="T355" i="41" s="1"/>
  <c r="Z364" i="41"/>
  <c r="Z366" i="41" s="1"/>
  <c r="U364" i="41"/>
  <c r="U366" i="41" s="1"/>
  <c r="U330" i="41"/>
  <c r="S330" i="41"/>
  <c r="V298" i="41"/>
  <c r="V364" i="41"/>
  <c r="V366" i="41" s="1"/>
  <c r="AA364" i="41"/>
  <c r="AA366" i="41" s="1"/>
  <c r="Z330" i="41"/>
  <c r="S364" i="41"/>
  <c r="S366" i="41" s="1"/>
  <c r="X364" i="41"/>
  <c r="X366" i="41" s="1"/>
  <c r="J362" i="41"/>
  <c r="J364" i="41" s="1"/>
  <c r="J366" i="41" s="1"/>
  <c r="J330" i="41"/>
  <c r="J332" i="41" s="1"/>
  <c r="J334" i="41" s="1"/>
  <c r="J336" i="41" s="1"/>
  <c r="J298" i="41"/>
  <c r="Z353" i="41"/>
  <c r="Z355" i="41" s="1"/>
  <c r="V353" i="41"/>
  <c r="V355" i="41" s="1"/>
  <c r="S298" i="41"/>
  <c r="U298" i="41"/>
  <c r="X298" i="41"/>
  <c r="AA298" i="41"/>
  <c r="K130" i="65"/>
  <c r="K159" i="65" s="1"/>
  <c r="K64" i="105" s="1"/>
  <c r="K182" i="105" s="1"/>
  <c r="K32" i="82"/>
  <c r="K131" i="65"/>
  <c r="K160" i="65" s="1"/>
  <c r="K65" i="105" s="1"/>
  <c r="K183" i="105" s="1"/>
  <c r="K33" i="82"/>
  <c r="K140" i="65"/>
  <c r="K169" i="65" s="1"/>
  <c r="K74" i="105" s="1"/>
  <c r="K139" i="65"/>
  <c r="K168" i="65" s="1"/>
  <c r="K73" i="105" s="1"/>
  <c r="K193" i="105" s="1"/>
  <c r="K121" i="65"/>
  <c r="K150" i="65" s="1"/>
  <c r="K55" i="105" s="1"/>
  <c r="K95" i="105" s="1"/>
  <c r="K122" i="65"/>
  <c r="K151" i="65" s="1"/>
  <c r="K56" i="105" s="1"/>
  <c r="K96" i="105" s="1"/>
  <c r="AA159" i="65"/>
  <c r="AA64" i="105" s="1"/>
  <c r="AE325" i="41" l="1"/>
  <c r="AE327" i="41" s="1"/>
  <c r="AC357" i="41"/>
  <c r="AC359" i="41" s="1"/>
  <c r="AC368" i="41" s="1"/>
  <c r="AC393" i="41" s="1"/>
  <c r="AC325" i="41"/>
  <c r="AC327" i="41" s="1"/>
  <c r="AC332" i="41"/>
  <c r="AC334" i="41" s="1"/>
  <c r="AC336" i="41" s="1"/>
  <c r="AC392" i="41" s="1"/>
  <c r="AC300" i="41"/>
  <c r="AC302" i="41" s="1"/>
  <c r="AC304" i="41" s="1"/>
  <c r="AF300" i="41"/>
  <c r="AF302" i="41" s="1"/>
  <c r="AF304" i="41" s="1"/>
  <c r="AF309" i="41" s="1"/>
  <c r="AE300" i="41"/>
  <c r="AE302" i="41" s="1"/>
  <c r="AE304" i="41" s="1"/>
  <c r="AE307" i="41" s="1"/>
  <c r="AF357" i="41"/>
  <c r="AF359" i="41" s="1"/>
  <c r="AF368" i="41" s="1"/>
  <c r="AF393" i="41" s="1"/>
  <c r="N300" i="41"/>
  <c r="N302" i="41" s="1"/>
  <c r="N304" i="41" s="1"/>
  <c r="N307" i="41" s="1"/>
  <c r="O300" i="41"/>
  <c r="O302" i="41" s="1"/>
  <c r="O304" i="41" s="1"/>
  <c r="O391" i="41" s="1"/>
  <c r="P332" i="41"/>
  <c r="P334" i="41" s="1"/>
  <c r="P300" i="41"/>
  <c r="P302" i="41" s="1"/>
  <c r="P304" i="41" s="1"/>
  <c r="P309" i="41" s="1"/>
  <c r="O332" i="41"/>
  <c r="O334" i="41" s="1"/>
  <c r="S325" i="41"/>
  <c r="S327" i="41" s="1"/>
  <c r="T332" i="41"/>
  <c r="T334" i="41" s="1"/>
  <c r="Y332" i="41"/>
  <c r="Y334" i="41" s="1"/>
  <c r="Y300" i="41"/>
  <c r="Y302" i="41" s="1"/>
  <c r="Y304" i="41" s="1"/>
  <c r="Y391" i="41" s="1"/>
  <c r="AD336" i="41"/>
  <c r="AD392" i="41" s="1"/>
  <c r="J368" i="41"/>
  <c r="J393" i="41" s="1"/>
  <c r="AF307" i="41"/>
  <c r="T300" i="41"/>
  <c r="T302" i="41" s="1"/>
  <c r="T304" i="41" s="1"/>
  <c r="T307" i="41" s="1"/>
  <c r="M308" i="41"/>
  <c r="V325" i="41"/>
  <c r="V327" i="41" s="1"/>
  <c r="AE368" i="41"/>
  <c r="AE393" i="41" s="1"/>
  <c r="U325" i="41"/>
  <c r="U327" i="41" s="1"/>
  <c r="AE336" i="41"/>
  <c r="AE392" i="41" s="1"/>
  <c r="P357" i="41"/>
  <c r="P359" i="41" s="1"/>
  <c r="P368" i="41" s="1"/>
  <c r="P393" i="41" s="1"/>
  <c r="M309" i="41"/>
  <c r="AF325" i="41"/>
  <c r="AF327" i="41" s="1"/>
  <c r="AF336" i="41" s="1"/>
  <c r="M307" i="41"/>
  <c r="Z325" i="41"/>
  <c r="Z327" i="41" s="1"/>
  <c r="N368" i="41"/>
  <c r="N393" i="41" s="1"/>
  <c r="O357" i="41"/>
  <c r="O359" i="41" s="1"/>
  <c r="O368" i="41" s="1"/>
  <c r="O393" i="41" s="1"/>
  <c r="M336" i="41"/>
  <c r="M392" i="41" s="1"/>
  <c r="AJ325" i="41"/>
  <c r="AJ327" i="41" s="1"/>
  <c r="V332" i="41"/>
  <c r="V334" i="41" s="1"/>
  <c r="AD357" i="41"/>
  <c r="AD359" i="41" s="1"/>
  <c r="AD368" i="41" s="1"/>
  <c r="N325" i="41"/>
  <c r="N327" i="41" s="1"/>
  <c r="N336" i="41" s="1"/>
  <c r="P325" i="41"/>
  <c r="P327" i="41" s="1"/>
  <c r="O325" i="41"/>
  <c r="O327" i="41" s="1"/>
  <c r="AG343" i="41"/>
  <c r="AG385" i="41" s="1"/>
  <c r="M373" i="41"/>
  <c r="M375" i="41" s="1"/>
  <c r="M386" i="41" s="1"/>
  <c r="AM325" i="41"/>
  <c r="AM327" i="41" s="1"/>
  <c r="W325" i="41"/>
  <c r="W327" i="41" s="1"/>
  <c r="Z357" i="41"/>
  <c r="Z359" i="41" s="1"/>
  <c r="Z368"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R325" i="41"/>
  <c r="R327" i="41" s="1"/>
  <c r="K325" i="41"/>
  <c r="K327" i="41" s="1"/>
  <c r="Q325" i="41"/>
  <c r="Q327" i="41" s="1"/>
  <c r="AB325" i="41"/>
  <c r="AB327" i="41" s="1"/>
  <c r="AH325" i="41"/>
  <c r="AH327" i="41" s="1"/>
  <c r="Y325" i="41"/>
  <c r="Y327" i="41" s="1"/>
  <c r="X325" i="41"/>
  <c r="X327" i="41" s="1"/>
  <c r="W357" i="41"/>
  <c r="W359" i="41" s="1"/>
  <c r="L357" i="41"/>
  <c r="L359" i="41" s="1"/>
  <c r="Y357" i="41"/>
  <c r="Y359" i="41" s="1"/>
  <c r="Y368" i="41" s="1"/>
  <c r="Y393" i="41" s="1"/>
  <c r="AA332" i="41"/>
  <c r="AA334" i="41" s="1"/>
  <c r="AA325" i="41"/>
  <c r="AA327" i="41" s="1"/>
  <c r="AB357" i="41"/>
  <c r="AB359" i="41" s="1"/>
  <c r="T325" i="41"/>
  <c r="T327"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U357" i="41"/>
  <c r="U359" i="41" s="1"/>
  <c r="U368" i="41" s="1"/>
  <c r="U393" i="41" s="1"/>
  <c r="S300" i="41"/>
  <c r="S302" i="41" s="1"/>
  <c r="S304" i="41" s="1"/>
  <c r="X300" i="41"/>
  <c r="X302" i="41" s="1"/>
  <c r="X304" i="41" s="1"/>
  <c r="Z300" i="41"/>
  <c r="Z302" i="41" s="1"/>
  <c r="Z304" i="41" s="1"/>
  <c r="U300" i="41"/>
  <c r="U302" i="41" s="1"/>
  <c r="U304" i="41" s="1"/>
  <c r="V357" i="41"/>
  <c r="V359" i="41" s="1"/>
  <c r="V368" i="41" s="1"/>
  <c r="AA357" i="41"/>
  <c r="AA359" i="41" s="1"/>
  <c r="AA368" i="41" s="1"/>
  <c r="J300" i="41"/>
  <c r="J302" i="41" s="1"/>
  <c r="J304" i="41" s="1"/>
  <c r="AA300" i="41"/>
  <c r="AA302" i="41" s="1"/>
  <c r="AA304" i="41" s="1"/>
  <c r="V300" i="41"/>
  <c r="V302" i="41" s="1"/>
  <c r="V304" i="41" s="1"/>
  <c r="J392" i="41"/>
  <c r="J341" i="41"/>
  <c r="J340" i="41"/>
  <c r="AD391" i="41"/>
  <c r="AD308" i="41"/>
  <c r="AD307" i="41"/>
  <c r="AD309" i="41"/>
  <c r="X332" i="41"/>
  <c r="X334" i="41" s="1"/>
  <c r="S332" i="41"/>
  <c r="S334" i="41" s="1"/>
  <c r="S336" i="41" s="1"/>
  <c r="U332" i="41"/>
  <c r="U334" i="41" s="1"/>
  <c r="Z332" i="41"/>
  <c r="Z334" i="41" s="1"/>
  <c r="AA182" i="105"/>
  <c r="AA189" i="105" s="1"/>
  <c r="AA105" i="105"/>
  <c r="AA112" i="105" s="1"/>
  <c r="K106" i="105"/>
  <c r="K105" i="105"/>
  <c r="K116" i="105"/>
  <c r="K194" i="105"/>
  <c r="K115" i="105"/>
  <c r="K34" i="65"/>
  <c r="K112" i="65" s="1"/>
  <c r="K34" i="82" s="1"/>
  <c r="AJ33" i="65"/>
  <c r="AJ111" i="65" s="1"/>
  <c r="AJ33" i="82" s="1"/>
  <c r="R33" i="65"/>
  <c r="R111" i="65" s="1"/>
  <c r="R33" i="82" s="1"/>
  <c r="AF391" i="41" l="1"/>
  <c r="AE391" i="41"/>
  <c r="AC373" i="41"/>
  <c r="AC375" i="41" s="1"/>
  <c r="AC386" i="41" s="1"/>
  <c r="AF308" i="41"/>
  <c r="AF311" i="41" s="1"/>
  <c r="AF384" i="41" s="1"/>
  <c r="AE308" i="41"/>
  <c r="AE309" i="41"/>
  <c r="AC341" i="41"/>
  <c r="AC340" i="41"/>
  <c r="AC391" i="41"/>
  <c r="AC308" i="41"/>
  <c r="AC309" i="41"/>
  <c r="AC307" i="41"/>
  <c r="N309" i="41"/>
  <c r="X336" i="41"/>
  <c r="X340" i="41" s="1"/>
  <c r="AF373" i="41"/>
  <c r="AF375" i="41" s="1"/>
  <c r="AF386" i="41" s="1"/>
  <c r="Y336" i="41"/>
  <c r="Y392" i="41" s="1"/>
  <c r="O309" i="41"/>
  <c r="N308" i="41"/>
  <c r="O307" i="41"/>
  <c r="P336" i="41"/>
  <c r="P392" i="41" s="1"/>
  <c r="T336" i="41"/>
  <c r="T341" i="41" s="1"/>
  <c r="O308" i="41"/>
  <c r="T308" i="41"/>
  <c r="O336" i="41"/>
  <c r="O392" i="41" s="1"/>
  <c r="N391" i="41"/>
  <c r="P308" i="41"/>
  <c r="P307" i="41"/>
  <c r="P391" i="41"/>
  <c r="Y309" i="41"/>
  <c r="Y307" i="41"/>
  <c r="Y308" i="41"/>
  <c r="AD341" i="41"/>
  <c r="AD340" i="41"/>
  <c r="J373" i="41"/>
  <c r="J375" i="41" s="1"/>
  <c r="J386" i="41" s="1"/>
  <c r="T309" i="41"/>
  <c r="Z336" i="41"/>
  <c r="Z340" i="41" s="1"/>
  <c r="T391" i="41"/>
  <c r="AF392" i="41"/>
  <c r="AF340" i="41"/>
  <c r="AF341" i="41"/>
  <c r="V336" i="41"/>
  <c r="V341" i="41" s="1"/>
  <c r="U336" i="41"/>
  <c r="U341" i="41" s="1"/>
  <c r="AE340" i="41"/>
  <c r="O373" i="41"/>
  <c r="O375" i="41" s="1"/>
  <c r="O386" i="41" s="1"/>
  <c r="M311" i="41"/>
  <c r="M384" i="41" s="1"/>
  <c r="AE341" i="41"/>
  <c r="AE373" i="41"/>
  <c r="AE375" i="41" s="1"/>
  <c r="AE386" i="41" s="1"/>
  <c r="M340" i="41"/>
  <c r="P373" i="41"/>
  <c r="P375" i="41" s="1"/>
  <c r="P386" i="41" s="1"/>
  <c r="M341" i="41"/>
  <c r="N373" i="41"/>
  <c r="N375" i="41" s="1"/>
  <c r="N386" i="41" s="1"/>
  <c r="N392" i="41"/>
  <c r="N340" i="41"/>
  <c r="N341" i="41"/>
  <c r="AD393" i="41"/>
  <c r="AD373" i="41"/>
  <c r="AD375" i="41" s="1"/>
  <c r="AD386" i="41" s="1"/>
  <c r="AG388" i="41"/>
  <c r="AG395" i="41" s="1"/>
  <c r="AG400" i="41" s="1"/>
  <c r="T373" i="41"/>
  <c r="T375" i="41" s="1"/>
  <c r="T386" i="41" s="1"/>
  <c r="X373" i="41"/>
  <c r="X375" i="41" s="1"/>
  <c r="X386" i="41" s="1"/>
  <c r="Y373" i="41"/>
  <c r="Y375" i="41" s="1"/>
  <c r="Y386" i="41" s="1"/>
  <c r="AA336" i="41"/>
  <c r="AA392" i="41" s="1"/>
  <c r="S373" i="41"/>
  <c r="S375" i="41" s="1"/>
  <c r="S386" i="41" s="1"/>
  <c r="U373" i="41"/>
  <c r="U375" i="41" s="1"/>
  <c r="U386"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AA393" i="41"/>
  <c r="AA373" i="41"/>
  <c r="AA375" i="41" s="1"/>
  <c r="AA386" i="41" s="1"/>
  <c r="J391" i="41"/>
  <c r="J307" i="41"/>
  <c r="J308" i="41"/>
  <c r="J309" i="41"/>
  <c r="Z391" i="41"/>
  <c r="Z309" i="41"/>
  <c r="Z308" i="41"/>
  <c r="Z307" i="41"/>
  <c r="S392" i="41"/>
  <c r="S341" i="41"/>
  <c r="S340" i="41"/>
  <c r="AD311" i="41"/>
  <c r="AD384" i="41" s="1"/>
  <c r="R122" i="65"/>
  <c r="R151" i="65" s="1"/>
  <c r="R56" i="105" s="1"/>
  <c r="R96" i="105" s="1"/>
  <c r="R102" i="105" s="1"/>
  <c r="R65" i="82" s="1"/>
  <c r="R131" i="65"/>
  <c r="R160" i="65" s="1"/>
  <c r="R65" i="105" s="1"/>
  <c r="R106" i="105" s="1"/>
  <c r="R112" i="105" s="1"/>
  <c r="R140" i="65"/>
  <c r="R169" i="65" s="1"/>
  <c r="R74" i="105" s="1"/>
  <c r="R116" i="105" s="1"/>
  <c r="R122"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K174" i="105" s="1"/>
  <c r="X341" i="41" l="1"/>
  <c r="X343" i="41" s="1"/>
  <c r="X385" i="41" s="1"/>
  <c r="AE311" i="41"/>
  <c r="AE384" i="41" s="1"/>
  <c r="AC343" i="41"/>
  <c r="AC385" i="41" s="1"/>
  <c r="AC311" i="41"/>
  <c r="AC384" i="41" s="1"/>
  <c r="N311" i="41"/>
  <c r="N384" i="41" s="1"/>
  <c r="X392" i="41"/>
  <c r="Y341" i="41"/>
  <c r="Y340" i="41"/>
  <c r="T340" i="41"/>
  <c r="T343" i="41" s="1"/>
  <c r="T385" i="41" s="1"/>
  <c r="P341" i="41"/>
  <c r="O311" i="41"/>
  <c r="O384" i="41" s="1"/>
  <c r="T392" i="41"/>
  <c r="P340" i="41"/>
  <c r="P311" i="41"/>
  <c r="P384" i="41" s="1"/>
  <c r="T311" i="41"/>
  <c r="T384" i="41" s="1"/>
  <c r="O341" i="41"/>
  <c r="O340" i="41"/>
  <c r="Y311" i="41"/>
  <c r="Y384" i="41" s="1"/>
  <c r="AD343" i="41"/>
  <c r="AD385" i="41" s="1"/>
  <c r="AD388" i="41" s="1"/>
  <c r="AD395" i="41" s="1"/>
  <c r="AD399" i="41" s="1"/>
  <c r="AD404" i="41" s="1"/>
  <c r="AD413" i="41" s="1"/>
  <c r="Z341" i="41"/>
  <c r="Z343" i="41" s="1"/>
  <c r="Z385" i="41" s="1"/>
  <c r="V392" i="41"/>
  <c r="Z392" i="41"/>
  <c r="U392" i="41"/>
  <c r="V340" i="41"/>
  <c r="V343" i="41" s="1"/>
  <c r="V385" i="41" s="1"/>
  <c r="AE343" i="41"/>
  <c r="AE385" i="41" s="1"/>
  <c r="AF343" i="41"/>
  <c r="AF385" i="41" s="1"/>
  <c r="AF388" i="41" s="1"/>
  <c r="AF395" i="41" s="1"/>
  <c r="AF400" i="41" s="1"/>
  <c r="AF403" i="41" s="1"/>
  <c r="AF412" i="41" s="1"/>
  <c r="U340" i="41"/>
  <c r="U343" i="41" s="1"/>
  <c r="U385" i="41" s="1"/>
  <c r="M343" i="41"/>
  <c r="M385" i="41" s="1"/>
  <c r="M388" i="41" s="1"/>
  <c r="M395" i="41" s="1"/>
  <c r="M400" i="41" s="1"/>
  <c r="M403" i="41" s="1"/>
  <c r="M412" i="41" s="1"/>
  <c r="N343" i="41"/>
  <c r="N385" i="41" s="1"/>
  <c r="N388" i="41" s="1"/>
  <c r="N395" i="41" s="1"/>
  <c r="N400" i="41" s="1"/>
  <c r="N403" i="41" s="1"/>
  <c r="N412" i="41" s="1"/>
  <c r="AG399" i="41"/>
  <c r="AG398" i="41"/>
  <c r="AA341" i="41"/>
  <c r="AA340" i="41"/>
  <c r="S343" i="41"/>
  <c r="S385" i="41" s="1"/>
  <c r="Z311" i="41"/>
  <c r="Z384" i="41" s="1"/>
  <c r="X311" i="41"/>
  <c r="X384" i="41" s="1"/>
  <c r="AA311" i="41"/>
  <c r="AA384" i="41" s="1"/>
  <c r="H428" i="41"/>
  <c r="J311" i="41"/>
  <c r="J384" i="41" s="1"/>
  <c r="J388" i="41" s="1"/>
  <c r="J395" i="41" s="1"/>
  <c r="V311" i="41"/>
  <c r="V384" i="41" s="1"/>
  <c r="U311" i="41"/>
  <c r="U384" i="41" s="1"/>
  <c r="S311" i="41"/>
  <c r="S384" i="41" s="1"/>
  <c r="K140" i="105"/>
  <c r="K146" i="105"/>
  <c r="K63" i="82" s="1"/>
  <c r="K65" i="82"/>
  <c r="AG32" i="65"/>
  <c r="AG110" i="65" s="1"/>
  <c r="K107" i="105"/>
  <c r="K112" i="105" s="1"/>
  <c r="K117" i="105"/>
  <c r="K122" i="105" s="1"/>
  <c r="AJ116" i="105"/>
  <c r="AJ122" i="105" s="1"/>
  <c r="AJ106" i="105"/>
  <c r="AJ112" i="105" s="1"/>
  <c r="AJ96" i="105"/>
  <c r="AJ102" i="105" s="1"/>
  <c r="AJ174" i="105" s="1"/>
  <c r="AG33" i="65"/>
  <c r="AG111" i="65" s="1"/>
  <c r="AG33" i="82" s="1"/>
  <c r="AC388" i="41" l="1"/>
  <c r="AC395" i="41" s="1"/>
  <c r="AC399" i="41" s="1"/>
  <c r="AC404" i="41" s="1"/>
  <c r="AC413" i="41" s="1"/>
  <c r="AE388" i="41"/>
  <c r="AE395" i="41" s="1"/>
  <c r="AE399" i="41" s="1"/>
  <c r="AE404" i="41" s="1"/>
  <c r="AE413" i="41" s="1"/>
  <c r="Y343" i="41"/>
  <c r="Y385" i="41" s="1"/>
  <c r="Y388" i="41" s="1"/>
  <c r="Y395" i="41" s="1"/>
  <c r="Y398" i="41" s="1"/>
  <c r="P343" i="41"/>
  <c r="P385" i="41" s="1"/>
  <c r="P388" i="41" s="1"/>
  <c r="P395" i="41" s="1"/>
  <c r="T388" i="41"/>
  <c r="T395" i="41" s="1"/>
  <c r="T400" i="41" s="1"/>
  <c r="T403" i="41" s="1"/>
  <c r="T412" i="41" s="1"/>
  <c r="O343" i="41"/>
  <c r="O385" i="41" s="1"/>
  <c r="O388" i="41" s="1"/>
  <c r="O395" i="41" s="1"/>
  <c r="O400" i="41" s="1"/>
  <c r="O403" i="41" s="1"/>
  <c r="O412" i="41" s="1"/>
  <c r="AF399" i="41"/>
  <c r="AF404" i="41" s="1"/>
  <c r="AF413" i="41" s="1"/>
  <c r="AF398" i="41"/>
  <c r="AF405" i="41" s="1"/>
  <c r="AF414" i="41" s="1"/>
  <c r="AE398" i="41"/>
  <c r="M398" i="41"/>
  <c r="M405" i="41" s="1"/>
  <c r="M414" i="41" s="1"/>
  <c r="M34" i="65" s="1"/>
  <c r="M112" i="65" s="1"/>
  <c r="M132" i="65" s="1"/>
  <c r="M161" i="65" s="1"/>
  <c r="M66" i="105" s="1"/>
  <c r="M184" i="105" s="1"/>
  <c r="N399" i="41"/>
  <c r="N404" i="41" s="1"/>
  <c r="N413" i="41" s="1"/>
  <c r="N398" i="41"/>
  <c r="N405" i="41" s="1"/>
  <c r="N414" i="41" s="1"/>
  <c r="M399" i="41"/>
  <c r="M404" i="41" s="1"/>
  <c r="M413" i="41" s="1"/>
  <c r="M33" i="65" s="1"/>
  <c r="M111" i="65" s="1"/>
  <c r="M33" i="82" s="1"/>
  <c r="AG422" i="41"/>
  <c r="AG426" i="41" s="1"/>
  <c r="AA343" i="41"/>
  <c r="AA385" i="41" s="1"/>
  <c r="AA388" i="41" s="1"/>
  <c r="AA395" i="41" s="1"/>
  <c r="AA400" i="41" s="1"/>
  <c r="AA403" i="41" s="1"/>
  <c r="AA412" i="41" s="1"/>
  <c r="S388" i="41"/>
  <c r="S395" i="41" s="1"/>
  <c r="S400" i="41" s="1"/>
  <c r="S403" i="41" s="1"/>
  <c r="S412" i="41" s="1"/>
  <c r="Z388" i="41"/>
  <c r="Z395" i="41" s="1"/>
  <c r="Z398" i="41" s="1"/>
  <c r="Z405" i="41" s="1"/>
  <c r="Z414" i="41" s="1"/>
  <c r="K62" i="82"/>
  <c r="K206" i="105"/>
  <c r="K73" i="82" s="1"/>
  <c r="K207" i="105"/>
  <c r="K74" i="82" s="1"/>
  <c r="V388" i="41"/>
  <c r="V395" i="41" s="1"/>
  <c r="V399" i="41" s="1"/>
  <c r="V404" i="41" s="1"/>
  <c r="V413" i="41" s="1"/>
  <c r="AD400" i="41"/>
  <c r="AD403" i="41" s="1"/>
  <c r="AD412" i="41" s="1"/>
  <c r="X388" i="41"/>
  <c r="X395" i="41" s="1"/>
  <c r="AD398" i="41"/>
  <c r="U388" i="41"/>
  <c r="U395" i="41" s="1"/>
  <c r="U398" i="41" s="1"/>
  <c r="AC405" i="41"/>
  <c r="AC414" i="41" s="1"/>
  <c r="Y405" i="41"/>
  <c r="Y414" i="41" s="1"/>
  <c r="J399" i="41"/>
  <c r="J404" i="41" s="1"/>
  <c r="J413" i="41" s="1"/>
  <c r="J400" i="41"/>
  <c r="J403" i="41" s="1"/>
  <c r="J412" i="41" s="1"/>
  <c r="J398" i="41"/>
  <c r="N32" i="65"/>
  <c r="N110" i="65" s="1"/>
  <c r="N32" i="82" s="1"/>
  <c r="M32" i="65"/>
  <c r="M110" i="65" s="1"/>
  <c r="M32" i="82" s="1"/>
  <c r="AG139" i="65"/>
  <c r="AG168" i="65" s="1"/>
  <c r="AG73" i="105" s="1"/>
  <c r="AG193" i="105" s="1"/>
  <c r="AG32" i="82"/>
  <c r="AG121" i="65"/>
  <c r="AG150" i="65" s="1"/>
  <c r="AG55" i="105" s="1"/>
  <c r="AG95" i="105" s="1"/>
  <c r="AJ141" i="105"/>
  <c r="AJ147" i="105"/>
  <c r="AJ146" i="105"/>
  <c r="AJ63" i="82" s="1"/>
  <c r="AJ140" i="105"/>
  <c r="AJ65" i="82"/>
  <c r="AG130" i="65"/>
  <c r="AG159" i="65" s="1"/>
  <c r="AG64" i="105" s="1"/>
  <c r="AG182" i="105" s="1"/>
  <c r="AG140" i="65"/>
  <c r="AG169" i="65" s="1"/>
  <c r="AG74" i="105" s="1"/>
  <c r="AG194" i="105" s="1"/>
  <c r="AG122" i="65"/>
  <c r="AG151" i="65" s="1"/>
  <c r="AG56" i="105" s="1"/>
  <c r="AG96" i="105" s="1"/>
  <c r="AG131" i="65"/>
  <c r="AG160" i="65" s="1"/>
  <c r="AG65" i="105" s="1"/>
  <c r="AG183" i="105" s="1"/>
  <c r="AE400" i="41" l="1"/>
  <c r="AE403" i="41" s="1"/>
  <c r="AE412" i="41" s="1"/>
  <c r="AC398" i="41"/>
  <c r="AC400" i="41"/>
  <c r="AC403" i="41" s="1"/>
  <c r="AC412" i="41" s="1"/>
  <c r="Y399" i="41"/>
  <c r="Y404" i="41" s="1"/>
  <c r="Y413" i="41" s="1"/>
  <c r="Y33" i="65" s="1"/>
  <c r="Y111" i="65" s="1"/>
  <c r="Y33" i="82" s="1"/>
  <c r="T398" i="41"/>
  <c r="Y400" i="41"/>
  <c r="Y403" i="41" s="1"/>
  <c r="Y412" i="41" s="1"/>
  <c r="P398" i="41"/>
  <c r="P405" i="41" s="1"/>
  <c r="P414" i="41" s="1"/>
  <c r="P34" i="65" s="1"/>
  <c r="P112" i="65" s="1"/>
  <c r="P123" i="65" s="1"/>
  <c r="P152" i="65" s="1"/>
  <c r="P57" i="105" s="1"/>
  <c r="P97" i="105" s="1"/>
  <c r="P400" i="41"/>
  <c r="P403" i="41" s="1"/>
  <c r="P412" i="41" s="1"/>
  <c r="P32" i="65" s="1"/>
  <c r="P110" i="65" s="1"/>
  <c r="P139" i="65" s="1"/>
  <c r="P168" i="65" s="1"/>
  <c r="P73" i="105" s="1"/>
  <c r="P193" i="105" s="1"/>
  <c r="T399" i="41"/>
  <c r="T404" i="41" s="1"/>
  <c r="T413" i="41" s="1"/>
  <c r="T33" i="65" s="1"/>
  <c r="T111" i="65" s="1"/>
  <c r="T33" i="82" s="1"/>
  <c r="P399" i="41"/>
  <c r="P404" i="41" s="1"/>
  <c r="P413" i="41" s="1"/>
  <c r="P33" i="65" s="1"/>
  <c r="P111" i="65" s="1"/>
  <c r="P33" i="82" s="1"/>
  <c r="O398" i="41"/>
  <c r="O405" i="41" s="1"/>
  <c r="O414" i="41" s="1"/>
  <c r="O34" i="65" s="1"/>
  <c r="O112" i="65" s="1"/>
  <c r="O141" i="65" s="1"/>
  <c r="O170" i="65" s="1"/>
  <c r="O75" i="105" s="1"/>
  <c r="O195" i="105" s="1"/>
  <c r="O399" i="41"/>
  <c r="O404" i="41" s="1"/>
  <c r="O413" i="41" s="1"/>
  <c r="O33" i="65" s="1"/>
  <c r="O111" i="65" s="1"/>
  <c r="O33" i="82" s="1"/>
  <c r="AF422" i="41"/>
  <c r="AF426" i="41" s="1"/>
  <c r="AE422" i="41"/>
  <c r="AE426" i="41" s="1"/>
  <c r="AE405" i="41"/>
  <c r="AE414" i="41" s="1"/>
  <c r="AE34" i="65" s="1"/>
  <c r="AE112" i="65" s="1"/>
  <c r="AE34" i="82" s="1"/>
  <c r="N422" i="41"/>
  <c r="N426" i="41" s="1"/>
  <c r="M422" i="41"/>
  <c r="M426" i="41" s="1"/>
  <c r="S399" i="41"/>
  <c r="S404" i="41" s="1"/>
  <c r="S413" i="41" s="1"/>
  <c r="S398" i="41"/>
  <c r="S405" i="41" s="1"/>
  <c r="S414" i="41" s="1"/>
  <c r="AA398" i="41"/>
  <c r="AA405" i="41" s="1"/>
  <c r="AA414" i="41" s="1"/>
  <c r="AA34" i="65" s="1"/>
  <c r="AA112" i="65" s="1"/>
  <c r="AA399" i="41"/>
  <c r="AA404" i="41" s="1"/>
  <c r="AA413" i="41" s="1"/>
  <c r="AA33" i="65" s="1"/>
  <c r="AA111" i="65" s="1"/>
  <c r="AA33" i="82" s="1"/>
  <c r="V400" i="41"/>
  <c r="V403" i="41" s="1"/>
  <c r="V412" i="41" s="1"/>
  <c r="V32" i="65" s="1"/>
  <c r="V110" i="65" s="1"/>
  <c r="V32" i="82" s="1"/>
  <c r="V398" i="41"/>
  <c r="V405" i="41" s="1"/>
  <c r="V414" i="41" s="1"/>
  <c r="V34" i="65" s="1"/>
  <c r="V112" i="65" s="1"/>
  <c r="Z399" i="41"/>
  <c r="Z404" i="41" s="1"/>
  <c r="Z413" i="41" s="1"/>
  <c r="Z33" i="65" s="1"/>
  <c r="Z111" i="65" s="1"/>
  <c r="Z400" i="41"/>
  <c r="Z403" i="41" s="1"/>
  <c r="Z412" i="41" s="1"/>
  <c r="Z32" i="65" s="1"/>
  <c r="Z110" i="65" s="1"/>
  <c r="AJ62" i="82"/>
  <c r="AJ207" i="105"/>
  <c r="AJ74" i="82" s="1"/>
  <c r="AJ206" i="105"/>
  <c r="AJ73" i="82" s="1"/>
  <c r="U399" i="41"/>
  <c r="U404" i="41" s="1"/>
  <c r="U413" i="41" s="1"/>
  <c r="U400" i="41"/>
  <c r="U403" i="41" s="1"/>
  <c r="U412" i="41" s="1"/>
  <c r="U405" i="41"/>
  <c r="U414" i="41" s="1"/>
  <c r="U34" i="65" s="1"/>
  <c r="U112" i="65" s="1"/>
  <c r="U141" i="65" s="1"/>
  <c r="U170" i="65" s="1"/>
  <c r="U75" i="105" s="1"/>
  <c r="U195" i="105" s="1"/>
  <c r="AD405" i="41"/>
  <c r="AD414" i="41" s="1"/>
  <c r="AD422" i="41"/>
  <c r="AD426" i="41" s="1"/>
  <c r="X399" i="41"/>
  <c r="X404" i="41" s="1"/>
  <c r="X413" i="41" s="1"/>
  <c r="X33" i="65" s="1"/>
  <c r="X111" i="65" s="1"/>
  <c r="X33" i="82" s="1"/>
  <c r="X398" i="41"/>
  <c r="X400" i="41"/>
  <c r="X403" i="41" s="1"/>
  <c r="X412" i="41" s="1"/>
  <c r="X32" i="65" s="1"/>
  <c r="X110" i="65" s="1"/>
  <c r="J405" i="41"/>
  <c r="J414" i="41" s="1"/>
  <c r="J34" i="65" s="1"/>
  <c r="J112" i="65" s="1"/>
  <c r="J132" i="65" s="1"/>
  <c r="J161" i="65" s="1"/>
  <c r="J66" i="105" s="1"/>
  <c r="J184" i="105" s="1"/>
  <c r="J422" i="41"/>
  <c r="T405" i="41"/>
  <c r="T414" i="41" s="1"/>
  <c r="AG200" i="105"/>
  <c r="AC34" i="65"/>
  <c r="AC112" i="65" s="1"/>
  <c r="AC34" i="82" s="1"/>
  <c r="AF34" i="65"/>
  <c r="AF112" i="65" s="1"/>
  <c r="AF34"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3" i="82" s="1"/>
  <c r="M34" i="82"/>
  <c r="O32" i="65"/>
  <c r="O110" i="65" s="1"/>
  <c r="O32" i="82" s="1"/>
  <c r="AG115" i="105"/>
  <c r="AG102" i="105"/>
  <c r="M107" i="105"/>
  <c r="AG105" i="105"/>
  <c r="AG189" i="105"/>
  <c r="AG106" i="105"/>
  <c r="AG116" i="105"/>
  <c r="V33" i="65"/>
  <c r="V111" i="65" s="1"/>
  <c r="V33" i="82" s="1"/>
  <c r="Y34" i="65"/>
  <c r="Y112" i="65" s="1"/>
  <c r="Y34" i="82" s="1"/>
  <c r="N34" i="65"/>
  <c r="N112" i="65" s="1"/>
  <c r="N33" i="65"/>
  <c r="N111" i="65" s="1"/>
  <c r="N33" i="82" s="1"/>
  <c r="N121" i="65"/>
  <c r="N150" i="65" s="1"/>
  <c r="N55" i="105" s="1"/>
  <c r="N95" i="105" s="1"/>
  <c r="N139" i="65"/>
  <c r="N168" i="65" s="1"/>
  <c r="N73" i="105" s="1"/>
  <c r="N193" i="105" s="1"/>
  <c r="N130" i="65"/>
  <c r="N159" i="65" s="1"/>
  <c r="N64" i="105" s="1"/>
  <c r="N182" i="105" s="1"/>
  <c r="Z34" i="65"/>
  <c r="Z112" i="65" s="1"/>
  <c r="Z34" i="82" s="1"/>
  <c r="AC422" i="41" l="1"/>
  <c r="AC426" i="41" s="1"/>
  <c r="P122" i="65"/>
  <c r="P151" i="65" s="1"/>
  <c r="P56" i="105" s="1"/>
  <c r="P96" i="105" s="1"/>
  <c r="T422" i="41"/>
  <c r="T426" i="41" s="1"/>
  <c r="P140" i="65"/>
  <c r="P169" i="65" s="1"/>
  <c r="P74" i="105" s="1"/>
  <c r="P194" i="105" s="1"/>
  <c r="P131" i="65"/>
  <c r="P160" i="65" s="1"/>
  <c r="P65" i="105" s="1"/>
  <c r="P183" i="105" s="1"/>
  <c r="P121" i="65"/>
  <c r="P150" i="65" s="1"/>
  <c r="P55" i="105" s="1"/>
  <c r="P95" i="105" s="1"/>
  <c r="P102" i="105" s="1"/>
  <c r="P132" i="65"/>
  <c r="P161" i="65" s="1"/>
  <c r="P66" i="105" s="1"/>
  <c r="P184" i="105" s="1"/>
  <c r="P141" i="65"/>
  <c r="P170" i="65" s="1"/>
  <c r="P75" i="105" s="1"/>
  <c r="P195" i="105" s="1"/>
  <c r="P34" i="82"/>
  <c r="Y422" i="41"/>
  <c r="Y426" i="41" s="1"/>
  <c r="P130" i="65"/>
  <c r="P159" i="65" s="1"/>
  <c r="P64" i="105" s="1"/>
  <c r="P182" i="105" s="1"/>
  <c r="P32" i="82"/>
  <c r="P422" i="41"/>
  <c r="P426" i="41" s="1"/>
  <c r="O422" i="41"/>
  <c r="O426" i="41" s="1"/>
  <c r="V130" i="65"/>
  <c r="V159" i="65" s="1"/>
  <c r="V64" i="105" s="1"/>
  <c r="V182" i="105" s="1"/>
  <c r="V121" i="65"/>
  <c r="V150" i="65" s="1"/>
  <c r="V55" i="105" s="1"/>
  <c r="V95" i="105" s="1"/>
  <c r="S422" i="41"/>
  <c r="S426" i="41" s="1"/>
  <c r="AA422" i="41"/>
  <c r="AA426" i="41" s="1"/>
  <c r="Z422" i="41"/>
  <c r="Z426" i="41" s="1"/>
  <c r="V422" i="41"/>
  <c r="V426" i="41" s="1"/>
  <c r="V139" i="65"/>
  <c r="V168" i="65" s="1"/>
  <c r="V73" i="105" s="1"/>
  <c r="V193" i="105" s="1"/>
  <c r="X140" i="65"/>
  <c r="X169" i="65" s="1"/>
  <c r="X74" i="105" s="1"/>
  <c r="X194" i="105" s="1"/>
  <c r="X122" i="65"/>
  <c r="X151" i="65" s="1"/>
  <c r="X56" i="105" s="1"/>
  <c r="X96" i="105" s="1"/>
  <c r="AG146" i="105"/>
  <c r="AG63" i="82" s="1"/>
  <c r="AG174" i="105"/>
  <c r="AG65"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34" i="82" s="1"/>
  <c r="U34"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2" i="82" s="1"/>
  <c r="AE123" i="65"/>
  <c r="AE152" i="65" s="1"/>
  <c r="AE57" i="105" s="1"/>
  <c r="AE97" i="105" s="1"/>
  <c r="AE33" i="65"/>
  <c r="AE111" i="65" s="1"/>
  <c r="AE33" i="82" s="1"/>
  <c r="AE141" i="65"/>
  <c r="AE170" i="65" s="1"/>
  <c r="AE75" i="105" s="1"/>
  <c r="AE195" i="105" s="1"/>
  <c r="AF32" i="65"/>
  <c r="AF110" i="65" s="1"/>
  <c r="AF32" i="82" s="1"/>
  <c r="AE32" i="65"/>
  <c r="AE110" i="65" s="1"/>
  <c r="AE32" i="82" s="1"/>
  <c r="AC33" i="65"/>
  <c r="AC111" i="65" s="1"/>
  <c r="AC33" i="82" s="1"/>
  <c r="AC32" i="65"/>
  <c r="AC110" i="65" s="1"/>
  <c r="AC32" i="82" s="1"/>
  <c r="AD33" i="65"/>
  <c r="AD111" i="65" s="1"/>
  <c r="AD32" i="65"/>
  <c r="AD110" i="65" s="1"/>
  <c r="M115" i="105"/>
  <c r="M102" i="105"/>
  <c r="M116" i="105"/>
  <c r="J130" i="65"/>
  <c r="J159" i="65" s="1"/>
  <c r="J64" i="105" s="1"/>
  <c r="J182" i="105" s="1"/>
  <c r="J32"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34"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34" i="82" s="1"/>
  <c r="S32" i="65"/>
  <c r="S110" i="65" s="1"/>
  <c r="S32" i="82" s="1"/>
  <c r="O117" i="105"/>
  <c r="V132" i="65"/>
  <c r="V161" i="65" s="1"/>
  <c r="V66" i="105" s="1"/>
  <c r="V184" i="105" s="1"/>
  <c r="V34" i="82"/>
  <c r="Z139" i="65"/>
  <c r="Z168" i="65" s="1"/>
  <c r="Z73" i="105" s="1"/>
  <c r="Z193" i="105" s="1"/>
  <c r="Z32" i="82"/>
  <c r="X139" i="65"/>
  <c r="X168" i="65" s="1"/>
  <c r="X73" i="105" s="1"/>
  <c r="X193" i="105" s="1"/>
  <c r="X32" i="82"/>
  <c r="N141" i="65"/>
  <c r="N170" i="65" s="1"/>
  <c r="N75" i="105" s="1"/>
  <c r="N195" i="105" s="1"/>
  <c r="N34" i="82"/>
  <c r="AA141" i="65"/>
  <c r="AA170" i="65" s="1"/>
  <c r="AA75" i="105" s="1"/>
  <c r="AA195" i="105" s="1"/>
  <c r="AA34" i="82"/>
  <c r="Z140" i="65"/>
  <c r="Z169" i="65" s="1"/>
  <c r="Z74" i="105" s="1"/>
  <c r="Z194" i="105" s="1"/>
  <c r="Z33" i="82"/>
  <c r="AG112" i="105"/>
  <c r="AG147" i="105" s="1"/>
  <c r="U117" i="105"/>
  <c r="N105" i="105"/>
  <c r="N115" i="105"/>
  <c r="P115" i="105"/>
  <c r="J141" i="65"/>
  <c r="J170" i="65" s="1"/>
  <c r="J75" i="105" s="1"/>
  <c r="J195" i="105" s="1"/>
  <c r="J34"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2"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P106" i="105" l="1"/>
  <c r="P200" i="105"/>
  <c r="P189" i="105"/>
  <c r="P107" i="105"/>
  <c r="P116" i="105"/>
  <c r="P117" i="105"/>
  <c r="V105" i="105"/>
  <c r="P105" i="105"/>
  <c r="V115" i="105"/>
  <c r="X34" i="82"/>
  <c r="X123" i="65"/>
  <c r="X152" i="65" s="1"/>
  <c r="X57" i="105" s="1"/>
  <c r="X97" i="105" s="1"/>
  <c r="X102" i="105" s="1"/>
  <c r="X174" i="105" s="1"/>
  <c r="T32" i="82"/>
  <c r="T121" i="65"/>
  <c r="T150" i="65" s="1"/>
  <c r="T55" i="105" s="1"/>
  <c r="T95" i="105" s="1"/>
  <c r="T139" i="65"/>
  <c r="T168" i="65" s="1"/>
  <c r="T73" i="105" s="1"/>
  <c r="T193" i="105" s="1"/>
  <c r="AC122" i="65"/>
  <c r="AC151" i="65" s="1"/>
  <c r="AC56" i="105" s="1"/>
  <c r="AC96" i="105" s="1"/>
  <c r="X116" i="105"/>
  <c r="H426" i="41"/>
  <c r="M174" i="105"/>
  <c r="M65" i="82" s="1"/>
  <c r="AG62" i="82"/>
  <c r="AG206" i="105"/>
  <c r="AG73" i="82" s="1"/>
  <c r="AG207" i="105"/>
  <c r="AG74" i="82" s="1"/>
  <c r="P174" i="105"/>
  <c r="P65" i="82" s="1"/>
  <c r="AA116" i="105"/>
  <c r="U32" i="82"/>
  <c r="H422" i="41"/>
  <c r="U33" i="82"/>
  <c r="T123" i="65"/>
  <c r="T152" i="65" s="1"/>
  <c r="T57" i="105" s="1"/>
  <c r="T97" i="105" s="1"/>
  <c r="U131" i="65"/>
  <c r="U160" i="65" s="1"/>
  <c r="U65" i="105" s="1"/>
  <c r="U183" i="105" s="1"/>
  <c r="T105" i="105"/>
  <c r="U107" i="105"/>
  <c r="U122" i="65"/>
  <c r="U151" i="65" s="1"/>
  <c r="U56" i="105" s="1"/>
  <c r="U96" i="105" s="1"/>
  <c r="U102" i="105" s="1"/>
  <c r="AA121" i="65"/>
  <c r="AA150" i="65" s="1"/>
  <c r="AA55" i="105" s="1"/>
  <c r="AA95" i="105" s="1"/>
  <c r="AA102" i="105" s="1"/>
  <c r="AA174" i="105" s="1"/>
  <c r="AE117" i="105"/>
  <c r="T141" i="65"/>
  <c r="T170" i="65" s="1"/>
  <c r="T75" i="105" s="1"/>
  <c r="T195" i="105" s="1"/>
  <c r="AC121" i="65"/>
  <c r="AC150" i="65" s="1"/>
  <c r="AC55" i="105" s="1"/>
  <c r="AC95" i="105" s="1"/>
  <c r="AF121" i="65"/>
  <c r="AF150" i="65" s="1"/>
  <c r="AF55" i="105" s="1"/>
  <c r="AF95" i="105" s="1"/>
  <c r="AF102" i="105" s="1"/>
  <c r="AF174"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3" i="82" s="1"/>
  <c r="AC139" i="65"/>
  <c r="AC168" i="65" s="1"/>
  <c r="AC73" i="105" s="1"/>
  <c r="AC193" i="105" s="1"/>
  <c r="AD32" i="82"/>
  <c r="AD121" i="65"/>
  <c r="AD150" i="65" s="1"/>
  <c r="AD55" i="105" s="1"/>
  <c r="AD95" i="105" s="1"/>
  <c r="AD139" i="65"/>
  <c r="AD168" i="65" s="1"/>
  <c r="AD73" i="105" s="1"/>
  <c r="AD34" i="65"/>
  <c r="AD112" i="65" s="1"/>
  <c r="AD33"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P140" i="105"/>
  <c r="O106" i="105"/>
  <c r="O116" i="105"/>
  <c r="V189" i="105"/>
  <c r="V107" i="105"/>
  <c r="S130" i="65"/>
  <c r="S159" i="65" s="1"/>
  <c r="S64" i="105" s="1"/>
  <c r="S182" i="105" s="1"/>
  <c r="O105" i="105"/>
  <c r="X115" i="105"/>
  <c r="P146" i="105"/>
  <c r="P63" i="82" s="1"/>
  <c r="S33"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Z174" i="105" s="1"/>
  <c r="N116" i="105"/>
  <c r="Y117" i="105"/>
  <c r="AF116" i="105"/>
  <c r="V117" i="105"/>
  <c r="V116" i="105"/>
  <c r="Y116" i="105"/>
  <c r="AF117" i="105"/>
  <c r="Z117" i="105"/>
  <c r="N106" i="105"/>
  <c r="V106" i="105"/>
  <c r="N107" i="105"/>
  <c r="N102" i="105"/>
  <c r="N174" i="105" s="1"/>
  <c r="V102" i="105"/>
  <c r="V174" i="105" s="1"/>
  <c r="J140" i="65"/>
  <c r="J169" i="65" s="1"/>
  <c r="J74" i="105" s="1"/>
  <c r="J122" i="65"/>
  <c r="J151" i="65" s="1"/>
  <c r="J56" i="105" s="1"/>
  <c r="J96" i="105" s="1"/>
  <c r="J33" i="82"/>
  <c r="J189" i="105"/>
  <c r="J106" i="105"/>
  <c r="Y139" i="65"/>
  <c r="Y168" i="65" s="1"/>
  <c r="Y121" i="65"/>
  <c r="Y150" i="65" s="1"/>
  <c r="O66" i="105"/>
  <c r="O184" i="105" s="1"/>
  <c r="O189" i="105" s="1"/>
  <c r="P122" i="105" l="1"/>
  <c r="P142" i="105" s="1"/>
  <c r="P112" i="105"/>
  <c r="T115" i="105"/>
  <c r="T102" i="105"/>
  <c r="T146" i="105" s="1"/>
  <c r="T63" i="82" s="1"/>
  <c r="U189" i="105"/>
  <c r="AC102" i="105"/>
  <c r="AC140" i="105" s="1"/>
  <c r="T200" i="105"/>
  <c r="U106" i="105"/>
  <c r="U146" i="105"/>
  <c r="U63" i="82" s="1"/>
  <c r="U174" i="105"/>
  <c r="U65" i="82" s="1"/>
  <c r="P62" i="82"/>
  <c r="P207" i="105"/>
  <c r="P74" i="82" s="1"/>
  <c r="P206" i="105"/>
  <c r="P73" i="82" s="1"/>
  <c r="M62" i="82"/>
  <c r="M207" i="105"/>
  <c r="M74" i="82" s="1"/>
  <c r="M206" i="105"/>
  <c r="M73" i="82" s="1"/>
  <c r="AC115" i="105"/>
  <c r="O146" i="105"/>
  <c r="O63" i="82" s="1"/>
  <c r="O174" i="105"/>
  <c r="O65" i="82" s="1"/>
  <c r="H432" i="41"/>
  <c r="AE200" i="105"/>
  <c r="S117" i="105"/>
  <c r="AA115" i="105"/>
  <c r="AA122" i="105" s="1"/>
  <c r="AA142" i="105" s="1"/>
  <c r="U105" i="105"/>
  <c r="T107" i="105"/>
  <c r="T112" i="105" s="1"/>
  <c r="T141" i="105" s="1"/>
  <c r="T117" i="105"/>
  <c r="AC200" i="105"/>
  <c r="AC116" i="105"/>
  <c r="AE115" i="105"/>
  <c r="U115" i="105"/>
  <c r="U122" i="105" s="1"/>
  <c r="U148" i="105" s="1"/>
  <c r="AE102" i="105"/>
  <c r="AF115" i="105"/>
  <c r="AF122" i="105" s="1"/>
  <c r="AE116" i="105"/>
  <c r="AD194" i="105"/>
  <c r="AD116" i="105"/>
  <c r="AD34" i="82"/>
  <c r="AD141" i="65"/>
  <c r="AD170" i="65" s="1"/>
  <c r="AD75" i="105" s="1"/>
  <c r="AD123" i="65"/>
  <c r="AD152" i="65" s="1"/>
  <c r="AD57" i="105" s="1"/>
  <c r="AD97" i="105" s="1"/>
  <c r="H97" i="105" s="1"/>
  <c r="AD193" i="105"/>
  <c r="AD115" i="105"/>
  <c r="M142" i="105"/>
  <c r="S107" i="105"/>
  <c r="O122" i="105"/>
  <c r="O142" i="105" s="1"/>
  <c r="M141" i="105"/>
  <c r="S102" i="105"/>
  <c r="S115" i="105"/>
  <c r="O140" i="105"/>
  <c r="H96" i="105"/>
  <c r="X122" i="105"/>
  <c r="X142" i="105" s="1"/>
  <c r="V112" i="105"/>
  <c r="V147" i="105" s="1"/>
  <c r="J50" i="106" a="1"/>
  <c r="J55" i="106" s="1"/>
  <c r="S105" i="105"/>
  <c r="S194" i="105"/>
  <c r="S200" i="105" s="1"/>
  <c r="S116" i="105"/>
  <c r="S183" i="105"/>
  <c r="S189" i="105" s="1"/>
  <c r="S106" i="105"/>
  <c r="H106" i="105" s="1"/>
  <c r="N122" i="105"/>
  <c r="N142" i="105" s="1"/>
  <c r="Z122" i="105"/>
  <c r="Z142" i="105" s="1"/>
  <c r="U140" i="105"/>
  <c r="J116" i="105"/>
  <c r="J194" i="105"/>
  <c r="J200" i="105" s="1"/>
  <c r="N140" i="105"/>
  <c r="N146" i="105"/>
  <c r="N63" i="82" s="1"/>
  <c r="N65" i="82"/>
  <c r="AF146" i="105"/>
  <c r="AF63" i="82" s="1"/>
  <c r="AF65" i="82"/>
  <c r="AF140" i="105"/>
  <c r="P148" i="105"/>
  <c r="P141" i="105"/>
  <c r="P147" i="105"/>
  <c r="V140" i="105"/>
  <c r="V146" i="105"/>
  <c r="V63" i="82" s="1"/>
  <c r="V65" i="82"/>
  <c r="X146" i="105"/>
  <c r="X63" i="82" s="1"/>
  <c r="X140" i="105"/>
  <c r="X65" i="82"/>
  <c r="AA140" i="105"/>
  <c r="AA146" i="105"/>
  <c r="AA63" i="82" s="1"/>
  <c r="AA65" i="82"/>
  <c r="Z140" i="105"/>
  <c r="Z146" i="105"/>
  <c r="Z63" i="82" s="1"/>
  <c r="Z65" i="82"/>
  <c r="V122" i="105"/>
  <c r="O107" i="105"/>
  <c r="O112" i="105" s="1"/>
  <c r="N112" i="105"/>
  <c r="J102" i="105"/>
  <c r="J112" i="105"/>
  <c r="Y55" i="105"/>
  <c r="Y95" i="105" s="1"/>
  <c r="Y73" i="105"/>
  <c r="Y193" i="105" s="1"/>
  <c r="Y200" i="105" s="1"/>
  <c r="H178" i="65" l="1" a="1"/>
  <c r="H178" i="65" s="1"/>
  <c r="A4" i="65" s="1"/>
  <c r="T174" i="105"/>
  <c r="T65" i="82" s="1"/>
  <c r="J141" i="105"/>
  <c r="J147" i="105"/>
  <c r="T140" i="105"/>
  <c r="T206" i="105" s="1"/>
  <c r="T73" i="82" s="1"/>
  <c r="T122" i="105"/>
  <c r="T148" i="105" s="1"/>
  <c r="J174" i="105"/>
  <c r="J65" i="82" s="1"/>
  <c r="J146" i="105"/>
  <c r="J63" i="82" s="1"/>
  <c r="AC174" i="105"/>
  <c r="AC65" i="82" s="1"/>
  <c r="AC146" i="105"/>
  <c r="AC63" i="82" s="1"/>
  <c r="U112" i="105"/>
  <c r="U141" i="105" s="1"/>
  <c r="AC122" i="105"/>
  <c r="AC142" i="105" s="1"/>
  <c r="A4" i="41"/>
  <c r="J53" i="55"/>
  <c r="U62" i="82"/>
  <c r="U207" i="105"/>
  <c r="U74" i="82" s="1"/>
  <c r="U206" i="105"/>
  <c r="U73" i="82" s="1"/>
  <c r="Z62" i="82"/>
  <c r="Z206" i="105"/>
  <c r="Z207" i="105"/>
  <c r="Z74" i="82" s="1"/>
  <c r="S174" i="105"/>
  <c r="S65" i="82" s="1"/>
  <c r="AF62" i="82"/>
  <c r="AF206" i="105"/>
  <c r="AF207" i="105"/>
  <c r="AF74" i="82" s="1"/>
  <c r="V62" i="82"/>
  <c r="V207" i="105"/>
  <c r="V74" i="82" s="1"/>
  <c r="V206" i="105"/>
  <c r="V73" i="82" s="1"/>
  <c r="AA62" i="82"/>
  <c r="AA206" i="105"/>
  <c r="AA207" i="105"/>
  <c r="AA74" i="82" s="1"/>
  <c r="N62" i="82"/>
  <c r="N207" i="105"/>
  <c r="N74" i="82" s="1"/>
  <c r="N206" i="105"/>
  <c r="N73" i="82" s="1"/>
  <c r="AE174" i="105"/>
  <c r="AE65" i="82" s="1"/>
  <c r="X62" i="82"/>
  <c r="X207" i="105"/>
  <c r="X74" i="82" s="1"/>
  <c r="X206" i="105"/>
  <c r="O62" i="82"/>
  <c r="O207" i="105"/>
  <c r="O74" i="82" s="1"/>
  <c r="O206" i="105"/>
  <c r="O73" i="82" s="1"/>
  <c r="AC62" i="82"/>
  <c r="AC207" i="105"/>
  <c r="AC74" i="82" s="1"/>
  <c r="AC206" i="105"/>
  <c r="S122" i="105"/>
  <c r="S142" i="105" s="1"/>
  <c r="H105" i="105"/>
  <c r="T147" i="105"/>
  <c r="AE122" i="105"/>
  <c r="AE142" i="105" s="1"/>
  <c r="AE146" i="105"/>
  <c r="AE63" i="82" s="1"/>
  <c r="AE140" i="105"/>
  <c r="J84" i="106" a="1"/>
  <c r="N85" i="106" s="1"/>
  <c r="S140" i="105"/>
  <c r="J16" i="106" a="1"/>
  <c r="J41" i="106" s="1"/>
  <c r="AD102" i="105"/>
  <c r="AD174" i="105" s="1"/>
  <c r="AD195" i="105"/>
  <c r="AD200" i="105" s="1"/>
  <c r="AD117" i="105"/>
  <c r="H117" i="105" s="1"/>
  <c r="V141" i="105"/>
  <c r="O148" i="105"/>
  <c r="S112" i="105"/>
  <c r="S147" i="105" s="1"/>
  <c r="X148" i="105"/>
  <c r="L55" i="106"/>
  <c r="K72" i="106"/>
  <c r="S146" i="105"/>
  <c r="S63"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Y174" i="105" s="1"/>
  <c r="H95" i="105"/>
  <c r="H102" i="105" s="1"/>
  <c r="U147" i="105" l="1"/>
  <c r="T142" i="105"/>
  <c r="J54" i="55"/>
  <c r="T207" i="105"/>
  <c r="T74" i="82" s="1"/>
  <c r="J142" i="105"/>
  <c r="J148" i="105"/>
  <c r="T62" i="82"/>
  <c r="H112" i="105"/>
  <c r="AC148" i="105"/>
  <c r="S148" i="105"/>
  <c r="AE62" i="82"/>
  <c r="AE207" i="105"/>
  <c r="AE74" i="82" s="1"/>
  <c r="AE206" i="105"/>
  <c r="S62" i="82"/>
  <c r="S206" i="105"/>
  <c r="S73" i="82" s="1"/>
  <c r="S207" i="105"/>
  <c r="S74" i="82" s="1"/>
  <c r="J62" i="82"/>
  <c r="J207" i="105"/>
  <c r="J206" i="105"/>
  <c r="J73"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65" i="82"/>
  <c r="AD146" i="105"/>
  <c r="AD63" i="82" s="1"/>
  <c r="AD140" i="105"/>
  <c r="H122" i="105"/>
  <c r="Y146" i="105"/>
  <c r="Y63" i="82" s="1"/>
  <c r="Y140" i="105"/>
  <c r="Y65" i="82"/>
  <c r="Y122" i="105"/>
  <c r="H132" i="105" l="1"/>
  <c r="H133" i="105" s="1"/>
  <c r="H135" i="105" s="1"/>
  <c r="AD148" i="105"/>
  <c r="AD206" i="105"/>
  <c r="AD207" i="105"/>
  <c r="AD74" i="82" s="1"/>
  <c r="Y62" i="82"/>
  <c r="Y206" i="105"/>
  <c r="Y207" i="105"/>
  <c r="Y74" i="82" s="1"/>
  <c r="H119" i="106" a="1"/>
  <c r="H119" i="106" s="1"/>
  <c r="A4" i="106" s="1"/>
  <c r="AD62" i="82"/>
  <c r="Y142" i="105"/>
  <c r="Y148" i="105"/>
  <c r="H136" i="105"/>
  <c r="J74" i="82"/>
  <c r="H211" i="105" l="1" a="1"/>
  <c r="H211" i="105" s="1"/>
  <c r="A4" i="105" s="1"/>
  <c r="J56" i="55"/>
  <c r="H78" i="82" a="1"/>
  <c r="H78" i="82" s="1"/>
  <c r="J57" i="55" s="1"/>
  <c r="J55" i="55" l="1"/>
  <c r="J58" i="55" s="1"/>
  <c r="A4" i="55" s="1"/>
  <c r="A4" i="82"/>
</calcChain>
</file>

<file path=xl/sharedStrings.xml><?xml version="1.0" encoding="utf-8"?>
<sst xmlns="http://schemas.openxmlformats.org/spreadsheetml/2006/main" count="7915" uniqueCount="1160">
  <si>
    <t>CDCM charging model</t>
  </si>
  <si>
    <t>DISCLAIMER</t>
  </si>
  <si>
    <t>© All rights reserved by Cambridge Economic Policy Associates Ltd (CEPA) and TNEI Services Ltd (TNEI).</t>
  </si>
  <si>
    <t>Charging year:</t>
  </si>
  <si>
    <t>DNO name:</t>
  </si>
  <si>
    <t>Data version:</t>
  </si>
  <si>
    <t>Notes:</t>
  </si>
  <si>
    <t>[enter DNO comments, if any]</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</si>
  <si>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</si>
  <si>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</si>
  <si>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</si>
  <si>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</si>
  <si>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</si>
  <si>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</si>
  <si>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</si>
  <si>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</si>
  <si>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</si>
  <si>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</si>
  <si>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</si>
  <si>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</si>
  <si>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</si>
  <si>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</si>
  <si>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</si>
  <si>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</si>
  <si>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</si>
  <si>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</si>
  <si>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</si>
  <si>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</si>
  <si>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</si>
  <si>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</si>
  <si>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</si>
  <si>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</si>
  <si>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</si>
  <si>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</si>
  <si>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</si>
  <si>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</si>
  <si>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</si>
  <si>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</si>
  <si>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</si>
  <si>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</si>
  <si>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</si>
  <si>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</si>
  <si>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</si>
  <si>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</si>
  <si>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</si>
  <si>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</si>
  <si>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</si>
  <si>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</si>
  <si>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</si>
  <si>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</si>
  <si>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</si>
  <si>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</si>
  <si>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</si>
  <si>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</si>
  <si>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</si>
  <si>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</si>
  <si>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</si>
  <si>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</si>
  <si>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</si>
  <si>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</si>
  <si>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</si>
  <si>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</si>
  <si>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</si>
  <si>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</si>
  <si>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</si>
  <si>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</si>
  <si>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</si>
  <si>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</si>
  <si>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</si>
  <si>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</si>
  <si>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</si>
  <si>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</si>
  <si>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</si>
  <si>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</si>
  <si>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</si>
  <si>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</si>
  <si>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</si>
  <si>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</si>
  <si>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</si>
  <si>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</si>
  <si>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</si>
  <si>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</si>
  <si>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</si>
  <si>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</si>
  <si>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</si>
  <si>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</si>
  <si>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</si>
  <si>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</si>
  <si>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</si>
  <si>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</si>
  <si>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</si>
  <si>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</si>
  <si>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</si>
  <si>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</si>
  <si>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</si>
  <si>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</si>
  <si>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</si>
  <si>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</si>
  <si>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</si>
  <si>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</si>
  <si>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</si>
  <si>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</si>
  <si>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</si>
  <si>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</si>
  <si>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</si>
  <si>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</si>
  <si>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</si>
  <si>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</si>
  <si>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</si>
  <si>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</si>
  <si>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</si>
  <si>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</si>
  <si>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</si>
  <si>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</si>
  <si>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</si>
  <si>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</si>
  <si>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</si>
  <si>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</si>
  <si>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</si>
  <si>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</si>
  <si>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</si>
  <si>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</si>
  <si>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</si>
  <si>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</si>
  <si>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</si>
  <si>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</si>
  <si>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</si>
  <si>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</si>
  <si>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</si>
  <si>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</si>
  <si>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</si>
  <si>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</si>
  <si>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</si>
  <si>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</si>
  <si>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</si>
  <si>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</si>
  <si>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</si>
  <si>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</si>
  <si>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</si>
  <si>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</si>
  <si>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</si>
  <si>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</si>
  <si>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</si>
  <si>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</si>
  <si>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</si>
  <si>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</si>
  <si>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</si>
  <si>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</si>
  <si>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</si>
  <si>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</si>
  <si>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</si>
  <si>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</si>
  <si>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</si>
  <si>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</si>
  <si>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</si>
  <si>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</si>
  <si>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</si>
  <si>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</si>
  <si>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</si>
  <si>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</si>
  <si>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</si>
  <si>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</si>
  <si>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</si>
  <si>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</si>
  <si>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</si>
  <si>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</si>
  <si>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</si>
  <si>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</si>
  <si>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</si>
  <si>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</si>
  <si>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</si>
  <si>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</si>
  <si>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</si>
  <si>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</si>
  <si>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</si>
  <si>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</si>
  <si>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</si>
  <si>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</si>
  <si>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</si>
  <si>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</si>
  <si>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</si>
  <si>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</si>
  <si>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</si>
  <si>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</si>
  <si>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</si>
  <si>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</si>
  <si>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</si>
  <si>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</si>
  <si>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</si>
  <si>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</si>
  <si>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</si>
  <si>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</si>
  <si>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</si>
  <si>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</si>
  <si>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</si>
  <si>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</si>
  <si>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</si>
  <si>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</si>
  <si>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</si>
  <si>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</si>
  <si>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</si>
  <si>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</si>
  <si>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</si>
  <si>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</si>
  <si>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</si>
  <si>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</si>
  <si>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</si>
  <si>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</si>
  <si>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</si>
  <si>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</si>
  <si>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</si>
  <si>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</si>
  <si>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</si>
  <si>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</si>
  <si>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</si>
  <si>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</si>
  <si>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</si>
  <si>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</si>
  <si>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</si>
  <si>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</si>
  <si>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</si>
  <si>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</si>
  <si>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</si>
  <si>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</si>
  <si>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</si>
  <si>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</si>
  <si>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</si>
  <si>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</si>
  <si>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</si>
  <si>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</si>
  <si>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</si>
  <si>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</si>
  <si>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</si>
  <si>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</si>
  <si>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</si>
  <si>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</si>
  <si>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</si>
  <si>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</si>
  <si>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</si>
  <si>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</si>
  <si>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</si>
  <si>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</si>
  <si>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</si>
  <si>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</si>
  <si>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</si>
  <si>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</si>
  <si>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</si>
  <si>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</si>
  <si>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</si>
  <si>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</si>
  <si>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</si>
  <si>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</si>
  <si>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</si>
  <si>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</si>
  <si>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</si>
  <si>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</si>
  <si>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</si>
  <si>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</si>
  <si>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</si>
  <si>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</si>
  <si>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</si>
  <si>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</si>
  <si>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</si>
  <si>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</si>
  <si>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</si>
  <si>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</si>
  <si>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</si>
  <si>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</si>
  <si>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</si>
  <si>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</si>
  <si>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</si>
  <si>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</si>
  <si>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</si>
  <si>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</si>
  <si>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</si>
  <si>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</si>
  <si>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</si>
  <si>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</si>
  <si>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</si>
  <si>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</si>
  <si>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</si>
  <si>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</si>
  <si>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</si>
  <si>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</si>
  <si>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</si>
  <si>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</si>
  <si>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</si>
  <si>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</si>
  <si>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</si>
  <si>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</si>
  <si>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</si>
  <si>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</si>
  <si>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</si>
  <si>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</si>
  <si>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</si>
  <si>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</si>
  <si>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</si>
  <si>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</si>
  <si>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</si>
  <si>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</si>
  <si>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</si>
  <si>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</si>
  <si>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</si>
  <si>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</si>
  <si>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</si>
  <si>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</si>
  <si>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</si>
  <si>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</si>
  <si>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</si>
  <si>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</si>
  <si>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</si>
  <si>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</si>
  <si>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</si>
  <si>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</si>
  <si>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</si>
  <si>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</si>
  <si>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</si>
  <si>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</si>
  <si>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</si>
  <si>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</si>
  <si>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</si>
  <si>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</si>
  <si>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</si>
  <si>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</si>
  <si>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</si>
  <si>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</si>
  <si>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</si>
  <si>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</si>
  <si>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</si>
  <si>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</si>
  <si>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</si>
  <si>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</si>
  <si>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</si>
  <si>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</si>
  <si>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</si>
  <si>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</si>
  <si>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</si>
  <si>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</si>
  <si>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</si>
  <si>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</si>
  <si>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</si>
  <si>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</si>
  <si>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</si>
  <si>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</si>
  <si>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</si>
  <si>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</si>
  <si>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</si>
  <si>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</si>
  <si>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</si>
  <si>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</si>
  <si>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</si>
  <si>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</si>
  <si>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</si>
  <si>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</si>
  <si>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</si>
  <si>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</si>
  <si>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</si>
  <si>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</si>
  <si>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</si>
  <si>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</si>
  <si>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</si>
  <si>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</si>
  <si>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</si>
  <si>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</si>
  <si>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</si>
  <si>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</si>
  <si>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</si>
  <si>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</si>
  <si>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</si>
  <si>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</si>
  <si>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</si>
  <si>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</si>
  <si>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</si>
  <si>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</si>
  <si>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</si>
  <si>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</si>
  <si>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</si>
  <si>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</si>
  <si>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</si>
  <si>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</si>
  <si>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</si>
  <si>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</si>
  <si>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</si>
  <si>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</si>
  <si>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</si>
  <si>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</si>
  <si>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</si>
  <si>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</si>
  <si>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</si>
  <si>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</si>
  <si>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</si>
  <si>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</si>
  <si>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</si>
  <si>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</si>
  <si>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</si>
  <si>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</si>
  <si>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</si>
  <si>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</si>
  <si>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</si>
  <si>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</si>
  <si>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</si>
  <si>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</si>
  <si>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</si>
  <si>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</si>
  <si>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</si>
  <si>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</si>
  <si>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</si>
  <si>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</si>
  <si>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</si>
  <si>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</si>
  <si>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</si>
  <si>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</si>
  <si>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</si>
  <si>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</si>
  <si>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</si>
  <si>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</si>
  <si>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</si>
  <si>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</si>
  <si>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</si>
  <si>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</si>
  <si>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</si>
  <si>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</si>
  <si>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</si>
  <si>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</si>
  <si>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</si>
  <si>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</si>
  <si>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</si>
  <si>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</si>
  <si>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</si>
  <si>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</si>
  <si>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</si>
  <si>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</si>
  <si>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</si>
  <si>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</si>
  <si>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</si>
  <si>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</si>
  <si>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</si>
  <si>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</si>
  <si>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</si>
  <si>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</si>
  <si>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</si>
  <si>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</si>
  <si>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</si>
  <si>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</si>
  <si>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</si>
  <si>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</si>
  <si>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</si>
  <si>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</si>
  <si>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</si>
  <si>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</si>
  <si>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</si>
  <si>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</si>
  <si>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</si>
  <si>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</si>
  <si>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</si>
  <si>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</si>
  <si>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</si>
  <si>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</si>
  <si>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</si>
  <si>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</si>
  <si>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</si>
  <si>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</si>
  <si>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</si>
  <si>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</si>
  <si>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</si>
  <si>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</si>
  <si>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</si>
  <si>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</si>
  <si>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</si>
  <si>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</si>
  <si>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</si>
  <si>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</si>
  <si>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</si>
  <si>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</si>
  <si>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</si>
  <si>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</si>
  <si>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</si>
  <si>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</si>
  <si>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</si>
  <si>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</si>
  <si>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</si>
  <si>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</si>
  <si>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</si>
  <si>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</si>
  <si>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</si>
  <si>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</si>
  <si>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</si>
  <si>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</si>
  <si>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</si>
  <si>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</si>
  <si>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</si>
  <si>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</si>
  <si>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</si>
  <si>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</si>
  <si>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</si>
  <si>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</si>
  <si>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</si>
  <si>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</si>
  <si>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</si>
  <si>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</si>
  <si>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</si>
  <si>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</si>
  <si>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</si>
  <si>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</si>
  <si>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</si>
  <si>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</si>
  <si>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</si>
  <si>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</si>
  <si>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</si>
  <si>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</si>
  <si>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</si>
  <si>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</si>
  <si>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</si>
  <si>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</si>
  <si>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</si>
  <si>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</si>
  <si>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</si>
  <si>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</si>
  <si>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</si>
  <si>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</si>
  <si>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</si>
  <si>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</si>
  <si>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</si>
  <si>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</si>
  <si>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</si>
  <si>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</si>
  <si>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</si>
  <si>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</si>
  <si>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</si>
  <si>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</si>
  <si>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</si>
  <si>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</si>
  <si>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</si>
  <si>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</si>
  <si>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</si>
  <si>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</si>
  <si>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</si>
  <si>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</si>
  <si>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</si>
  <si>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</si>
  <si>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</si>
  <si>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</si>
  <si>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</si>
  <si>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</si>
  <si>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</si>
  <si>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</si>
  <si>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</si>
  <si>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</si>
  <si>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</si>
  <si>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</si>
  <si>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</si>
  <si>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</si>
  <si>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</si>
  <si>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</si>
  <si>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</si>
  <si>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</si>
  <si>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</si>
  <si>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</si>
  <si>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</si>
  <si>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</si>
  <si>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</si>
  <si>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</si>
  <si>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</si>
  <si>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</si>
  <si>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</si>
  <si>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</si>
  <si>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</si>
  <si>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</si>
  <si>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</si>
  <si>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</si>
  <si>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</si>
  <si>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</si>
  <si>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</si>
  <si>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</si>
  <si>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</si>
  <si>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</si>
  <si>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</si>
  <si>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</si>
  <si>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</si>
  <si>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</si>
  <si>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</si>
  <si>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</si>
  <si>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</si>
  <si>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</si>
  <si>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</si>
  <si>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</si>
  <si>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</si>
  <si>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</si>
  <si>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</si>
  <si>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</si>
  <si>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</si>
  <si>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</si>
  <si>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</si>
  <si>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</si>
  <si>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</si>
  <si>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</si>
  <si>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</si>
  <si>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</si>
  <si>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</si>
  <si>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</si>
  <si>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</si>
  <si>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</si>
  <si>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</si>
  <si>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</si>
  <si>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</si>
  <si>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</si>
  <si>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</si>
  <si>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</si>
  <si>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</si>
  <si>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</si>
  <si>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</si>
  <si>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</si>
  <si>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</si>
  <si>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</si>
  <si>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</si>
  <si>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</si>
  <si>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</si>
  <si>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</si>
  <si>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</si>
  <si>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</si>
  <si>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</si>
  <si>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</si>
  <si>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</si>
  <si>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</si>
  <si>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</si>
  <si>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</si>
  <si>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</si>
  <si>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</si>
  <si>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</si>
  <si>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</si>
  <si>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</si>
  <si>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</si>
  <si>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</si>
  <si>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</si>
  <si>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</si>
  <si>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</si>
  <si>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</si>
  <si>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</si>
  <si>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</si>
  <si>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</si>
  <si>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</si>
  <si>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</si>
  <si>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</si>
  <si>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</si>
  <si>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</si>
  <si>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</si>
  <si>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</si>
  <si>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</si>
  <si>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</si>
  <si>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</si>
  <si>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</si>
  <si>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</si>
  <si>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</si>
  <si>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</si>
  <si>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</si>
  <si>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</si>
  <si>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</si>
  <si>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</si>
  <si>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</si>
  <si>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</si>
  <si>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</si>
  <si>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</si>
  <si>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</si>
  <si>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</si>
  <si>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</si>
  <si>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</si>
  <si>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</si>
  <si>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</si>
  <si>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</si>
  <si>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</si>
  <si>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</si>
  <si>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</si>
  <si>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</si>
  <si>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</si>
  <si>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</si>
  <si>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</si>
  <si>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</si>
  <si>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</si>
  <si>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</si>
  <si>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</si>
  <si>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</si>
  <si>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</si>
  <si>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</si>
  <si>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</si>
  <si>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</si>
  <si>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</si>
  <si>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</si>
  <si>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</si>
  <si>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</si>
  <si>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</si>
  <si>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</si>
  <si>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</si>
  <si>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</si>
  <si>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</si>
  <si>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</si>
  <si>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</si>
  <si>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</si>
  <si>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</si>
  <si>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</si>
  <si>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</si>
  <si>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</si>
  <si>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</si>
  <si>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</si>
  <si>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</si>
  <si>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</si>
  <si>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</si>
  <si>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</si>
  <si>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</si>
  <si>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</si>
  <si>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</si>
  <si>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</si>
  <si>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</si>
  <si>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</si>
  <si>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</si>
  <si>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</si>
  <si>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</si>
  <si>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</si>
  <si>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</si>
  <si>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</si>
  <si>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</si>
  <si>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</si>
  <si>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</si>
  <si>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</si>
  <si>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</si>
  <si>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</si>
  <si>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</si>
  <si>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</si>
  <si>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</si>
  <si>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</si>
  <si>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</si>
  <si>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</si>
  <si>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</si>
  <si>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</si>
  <si>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</si>
  <si>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</si>
  <si>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</si>
  <si>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</si>
  <si>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</si>
  <si>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</si>
  <si>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</si>
  <si>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</si>
  <si>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</si>
  <si>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</si>
  <si>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</si>
  <si>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</si>
  <si>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</si>
  <si>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</si>
  <si>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</si>
  <si>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</si>
  <si>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</si>
  <si>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</si>
  <si>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</si>
  <si>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</si>
  <si>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</si>
  <si>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</si>
  <si>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</si>
  <si>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</si>
  <si>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</si>
  <si>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</si>
  <si>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</si>
  <si>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</si>
  <si>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</si>
  <si>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</si>
  <si>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</si>
  <si>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</si>
  <si>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</si>
  <si>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</si>
  <si>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</si>
  <si>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</si>
  <si>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</si>
  <si>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</si>
  <si>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</si>
  <si>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</si>
  <si>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</si>
  <si>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</si>
  <si>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</si>
  <si>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</si>
  <si>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</si>
  <si>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</si>
  <si>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</si>
  <si>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</si>
  <si>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</si>
  <si>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</si>
  <si>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</si>
  <si>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</si>
  <si>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</si>
  <si>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</si>
  <si>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</si>
  <si>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</si>
  <si>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</si>
  <si>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</si>
  <si>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</si>
  <si>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</si>
  <si>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</si>
  <si>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</si>
  <si>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</si>
  <si>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</si>
  <si>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</si>
  <si>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</si>
  <si>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</si>
  <si>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</si>
  <si>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</si>
  <si>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</si>
  <si>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</si>
  <si>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</si>
  <si>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</si>
  <si>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</si>
  <si>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</si>
  <si>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</si>
  <si>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</si>
  <si>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</si>
  <si>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</si>
  <si>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</si>
  <si>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</si>
  <si>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</si>
  <si>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</si>
  <si>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</si>
  <si>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</si>
  <si>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</si>
  <si>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</si>
  <si>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</si>
  <si>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</si>
  <si>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</si>
  <si>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</si>
  <si>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</si>
  <si>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</si>
  <si>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</si>
  <si>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</si>
  <si>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</si>
  <si>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</si>
  <si>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</si>
  <si>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</si>
  <si>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</si>
  <si>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</si>
  <si>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</si>
  <si>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</si>
  <si>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</si>
  <si>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</si>
  <si>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</si>
  <si>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</si>
  <si>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</si>
  <si>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</si>
  <si>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</si>
  <si>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</si>
  <si>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</si>
  <si>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</si>
  <si>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</si>
  <si>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</si>
  <si>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</si>
  <si>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</si>
  <si>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</si>
  <si>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</si>
  <si>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</si>
  <si>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</si>
  <si>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</si>
  <si>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</si>
  <si>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</si>
  <si>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</si>
  <si>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</si>
  <si>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</si>
  <si>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</si>
  <si>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</si>
  <si>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</si>
  <si>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</si>
  <si>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</si>
  <si>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</si>
  <si>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</si>
  <si>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</si>
  <si>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</si>
  <si>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</si>
  <si>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</si>
  <si>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</si>
  <si>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</si>
  <si>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</si>
  <si>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</si>
  <si>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</si>
  <si>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</si>
  <si>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</si>
  <si>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</si>
  <si>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</si>
  <si>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</si>
  <si>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</si>
  <si>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</si>
  <si>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</si>
  <si>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</si>
  <si>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</si>
  <si>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</si>
  <si>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</si>
  <si>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</si>
  <si>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</si>
  <si>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</si>
  <si>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</si>
  <si>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</si>
  <si>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</si>
  <si>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</si>
  <si>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</si>
  <si>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</si>
  <si>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</si>
  <si>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</si>
  <si>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</si>
  <si>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</si>
  <si>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</si>
  <si>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</si>
  <si>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</si>
  <si>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</si>
  <si>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</si>
  <si>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</si>
  <si>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</si>
  <si>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</si>
  <si>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</si>
  <si>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</si>
  <si>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</si>
  <si>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</si>
  <si>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</si>
  <si>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</si>
  <si>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</si>
  <si>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</si>
  <si>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</si>
  <si>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</si>
  <si>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</si>
  <si>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</si>
  <si>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</si>
  <si>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</si>
  <si>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</si>
  <si>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</si>
  <si>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</si>
  <si>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</si>
  <si>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</si>
  <si>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</si>
  <si>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</si>
  <si>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</si>
  <si>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</si>
  <si>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</si>
  <si>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</si>
  <si>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</si>
  <si>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</si>
  <si>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</si>
  <si>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</si>
  <si>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</si>
  <si>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</si>
  <si>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</si>
  <si>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</si>
  <si>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</si>
  <si>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</si>
  <si>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</si>
  <si>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</si>
  <si>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</si>
  <si>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</si>
  <si>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</si>
  <si>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</si>
  <si>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</si>
  <si>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</si>
  <si>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</si>
  <si>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</si>
  <si>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</si>
  <si>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</si>
  <si>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</si>
  <si>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</si>
  <si>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</si>
  <si>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</si>
  <si>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</si>
  <si>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</si>
  <si>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</si>
  <si>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</si>
  <si>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</si>
  <si>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</si>
  <si>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</si>
  <si>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</si>
  <si>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</si>
  <si>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</si>
  <si>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</si>
  <si>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</si>
  <si>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</si>
  <si>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</si>
  <si>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</si>
  <si>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</si>
  <si>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</si>
  <si>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</si>
  <si>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</si>
  <si>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</si>
  <si>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</si>
  <si>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</si>
  <si>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</si>
  <si>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</si>
  <si>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</si>
  <si>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</si>
  <si>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</si>
  <si>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</si>
  <si>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</si>
  <si>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</si>
  <si>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</si>
  <si>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</si>
  <si>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</si>
  <si>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</si>
  <si>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</si>
  <si>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</si>
  <si>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</si>
  <si>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</si>
  <si>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</si>
  <si>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</si>
  <si>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</si>
  <si>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</si>
  <si>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</si>
  <si>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</si>
  <si>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</si>
  <si>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</si>
  <si>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</si>
  <si>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</si>
  <si>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</si>
  <si>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</si>
  <si>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</si>
  <si>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</si>
  <si>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</si>
  <si>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</si>
  <si>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</si>
  <si>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</si>
  <si>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</si>
  <si>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</si>
  <si>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</si>
  <si>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</si>
  <si>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</si>
  <si>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</si>
  <si>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</si>
  <si>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</si>
  <si>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</si>
  <si>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</si>
  <si>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</si>
  <si>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</si>
  <si>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</si>
  <si>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</si>
  <si>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</si>
  <si>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</si>
  <si>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</si>
  <si>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</si>
  <si>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</si>
  <si>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</si>
  <si>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</si>
  <si>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</si>
  <si>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</si>
  <si>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</si>
  <si>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</si>
  <si>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</si>
  <si>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</si>
  <si>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</si>
  <si>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</si>
  <si>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</si>
  <si>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</si>
  <si>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</si>
  <si>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</si>
  <si>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</si>
  <si>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</si>
  <si>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</si>
  <si>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</si>
  <si>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</si>
  <si>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</si>
  <si>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</si>
  <si>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</si>
  <si>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</si>
  <si>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</si>
  <si>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</si>
  <si>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</si>
  <si>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</si>
  <si>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</si>
  <si>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</si>
  <si>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</si>
  <si>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</si>
  <si>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</si>
  <si>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</si>
  <si>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</si>
  <si>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</si>
  <si>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</si>
  <si>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</si>
  <si>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</si>
  <si>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</si>
  <si>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</si>
  <si>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</si>
  <si>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</si>
  <si>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</si>
  <si>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</si>
  <si>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</si>
  <si>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</si>
  <si>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</si>
  <si>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</si>
  <si>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</si>
  <si>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</si>
  <si>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</si>
  <si>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</si>
  <si>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</si>
  <si>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</si>
  <si>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</si>
  <si>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</si>
  <si>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</si>
  <si>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</si>
  <si>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</si>
  <si>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</si>
  <si>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</si>
  <si>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</si>
  <si>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</si>
  <si>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</si>
  <si>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</si>
  <si>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</si>
  <si>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</si>
  <si>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</si>
  <si>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</si>
  <si>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</si>
  <si>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</si>
  <si>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</si>
  <si>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</si>
  <si>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</si>
  <si>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</si>
  <si>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</si>
  <si>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</si>
  <si>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</si>
  <si>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</si>
  <si>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</si>
  <si>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</si>
  <si>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</si>
  <si>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</si>
  <si>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</si>
  <si>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</si>
  <si>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</si>
  <si>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</si>
  <si>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</si>
  <si>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</si>
  <si>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</si>
  <si>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</si>
  <si>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</si>
  <si>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</si>
  <si>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</si>
  <si>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</si>
  <si>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</si>
  <si>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</si>
  <si>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</si>
  <si>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</si>
  <si>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</si>
  <si>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</si>
  <si>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</si>
  <si>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</si>
  <si>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</si>
  <si>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</si>
  <si>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2022/23</t>
  </si>
  <si>
    <t>Release for 2022/23 charge setting</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</si>
  <si>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</si>
  <si>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</si>
  <si>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</si>
  <si>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</si>
  <si>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</si>
  <si>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</si>
  <si>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</si>
  <si>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</si>
  <si>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</si>
  <si>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</si>
  <si>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</si>
  <si>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</si>
  <si>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</si>
  <si>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</si>
  <si>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</si>
  <si>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</si>
  <si>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Scottish Hydro Electric Power Distribution plc</t>
  </si>
  <si>
    <t>Final_V1.1 (Updated 31-01-22)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</si>
</sst>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9">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xf numFmtId="0" fontId="7" fillId="0" borderId="0"/>
  </cellStyleXfs>
  <cellXfs count="437">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6"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8" fontId="0" fillId="0" borderId="0" xfId="0" applyNumberFormat="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cellXfs>
  <cellStyles count="69">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rmal 2" xfId="68" xr:uid="{27C06526-F037-436F-82A7-5FD93F8398B8}"/>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tabSelected="1" zoomScale="80" zoomScaleNormal="80" workbookViewId="0">
      <selection activeCell="D4" sqref="D4"/>
    </sheetView>
  </sheetViews>
  <sheetFormatPr defaultColWidth="0" defaultRowHeight="15" customHeight="1" x14ac:dyDescent="0.35"/>
  <cols>
    <col min="1" max="1" width="2.7265625" style="3" customWidth="1"/>
    <col min="2" max="2" width="22.7265625" style="3" customWidth="1"/>
    <col min="3" max="3" width="2.7265625" style="3" customWidth="1"/>
    <col min="4" max="4" width="100.453125" style="4" customWidth="1"/>
    <col min="5" max="5" width="2.54296875" style="3" customWidth="1"/>
    <col min="6" max="16384" width="9.26953125" style="3" hidden="1"/>
  </cols>
  <sheetData>
    <row r="2" spans="2:4" ht="28.5" x14ac:dyDescent="0.35">
      <c r="D2" s="16" t="s">
        <v>0</v>
      </c>
    </row>
    <row r="4" spans="2:4" ht="21" x14ac:dyDescent="0.35">
      <c r="D4" s="7" t="s">
        <v>1141</v>
      </c>
    </row>
    <row r="5" spans="2:4" ht="14.5" x14ac:dyDescent="0.35">
      <c r="D5" s="17"/>
    </row>
    <row r="6" spans="2:4" ht="14.5" x14ac:dyDescent="0.35">
      <c r="B6" s="18" t="str">
        <f>'Version control'!F7</f>
        <v>Model date:</v>
      </c>
      <c r="D6" s="19">
        <f>'Version control'!H7</f>
        <v>44141</v>
      </c>
    </row>
    <row r="7" spans="2:4" ht="15" customHeight="1" x14ac:dyDescent="0.35">
      <c r="D7" s="20"/>
    </row>
    <row r="8" spans="2:4" ht="15" customHeight="1" x14ac:dyDescent="0.35">
      <c r="B8" s="18" t="str">
        <f>'Version control'!F9</f>
        <v>Development stage:</v>
      </c>
      <c r="D8" s="19" t="str">
        <f>'Version control'!H9</f>
        <v>Release for charge setting</v>
      </c>
    </row>
    <row r="9" spans="2:4" ht="15" customHeight="1" x14ac:dyDescent="0.35">
      <c r="D9" s="20"/>
    </row>
    <row r="10" spans="2:4" ht="15" customHeight="1" x14ac:dyDescent="0.35">
      <c r="B10" s="18" t="str">
        <f>'Version control'!F11</f>
        <v>Model number:</v>
      </c>
      <c r="D10" s="20">
        <f>'Version control'!H11</f>
        <v>7</v>
      </c>
    </row>
    <row r="11" spans="2:4" ht="15" customHeight="1" x14ac:dyDescent="0.35">
      <c r="D11" s="20"/>
    </row>
    <row r="12" spans="2:4" ht="15" customHeight="1" x14ac:dyDescent="0.35">
      <c r="B12" s="18" t="str">
        <f>'Version control'!F13</f>
        <v>DCUSA text version:</v>
      </c>
      <c r="D12" s="19" t="str">
        <f>'Version control'!H13</f>
        <v>01 April 2022 Charging Methodologies Pre-Release – October 2020 (Schedules 16, 17, 18, 20 and 29) DCP 361</v>
      </c>
    </row>
    <row r="13" spans="2:4" ht="15" customHeight="1" x14ac:dyDescent="0.35">
      <c r="D13" s="20"/>
    </row>
    <row r="14" spans="2:4" ht="15" customHeight="1" x14ac:dyDescent="0.35">
      <c r="B14" s="18" t="str">
        <f>'Version control'!F15</f>
        <v>DCUSA text schedule:</v>
      </c>
      <c r="D14" s="19" t="str">
        <f>'Version control'!H15</f>
        <v>Schedule 16</v>
      </c>
    </row>
    <row r="16" spans="2:4" ht="29" x14ac:dyDescent="0.35">
      <c r="B16" s="18" t="s">
        <v>1</v>
      </c>
      <c r="D16" s="8" t="s">
        <v>1142</v>
      </c>
    </row>
    <row r="17" spans="2:4" ht="14.5" x14ac:dyDescent="0.35">
      <c r="D17" s="4" t="s">
        <v>2</v>
      </c>
    </row>
    <row r="18" spans="2:4" ht="14.5" x14ac:dyDescent="0.35">
      <c r="D18" s="3"/>
    </row>
    <row r="19" spans="2:4" ht="15" customHeight="1" x14ac:dyDescent="0.35">
      <c r="B19" s="18" t="s">
        <v>3</v>
      </c>
      <c r="D19" s="241" t="s">
        <v>1140</v>
      </c>
    </row>
    <row r="21" spans="2:4" ht="15" customHeight="1" x14ac:dyDescent="0.35">
      <c r="B21" s="18" t="s">
        <v>4</v>
      </c>
      <c r="D21" s="241" t="s">
        <v>1158</v>
      </c>
    </row>
    <row r="23" spans="2:4" ht="15" customHeight="1" x14ac:dyDescent="0.35">
      <c r="B23" s="18" t="s">
        <v>5</v>
      </c>
      <c r="D23" s="241" t="s">
        <v>1159</v>
      </c>
    </row>
    <row r="25" spans="2:4" ht="30" customHeight="1" x14ac:dyDescent="0.35">
      <c r="B25" s="18" t="s">
        <v>6</v>
      </c>
      <c r="D25" s="241" t="s">
        <v>7</v>
      </c>
    </row>
    <row r="26" spans="2:4" ht="15" customHeight="1" x14ac:dyDescent="0.35">
      <c r="B26" s="18"/>
    </row>
    <row r="27" spans="2:4" ht="15" customHeight="1" x14ac:dyDescent="0.35">
      <c r="B27" s="18" t="s">
        <v>8</v>
      </c>
    </row>
    <row r="28" spans="2:4" customFormat="1" ht="15" customHeight="1" x14ac:dyDescent="0.35">
      <c r="B28" s="21" t="s">
        <v>9</v>
      </c>
      <c r="C28" s="1"/>
      <c r="D28" s="1" t="s">
        <v>10</v>
      </c>
    </row>
    <row r="29" spans="2:4" customFormat="1" ht="14.5" x14ac:dyDescent="0.35">
      <c r="B29" s="22"/>
      <c r="C29" s="23"/>
      <c r="D29" s="23" t="s">
        <v>11</v>
      </c>
    </row>
    <row r="30" spans="2:4" customFormat="1" ht="14.5" x14ac:dyDescent="0.35">
      <c r="B30" s="242" t="s">
        <v>12</v>
      </c>
      <c r="D30" t="s">
        <v>13</v>
      </c>
    </row>
    <row r="31" spans="2:4" customFormat="1" ht="14.5" x14ac:dyDescent="0.35">
      <c r="B31" s="243" t="s">
        <v>12</v>
      </c>
      <c r="D31" t="s">
        <v>14</v>
      </c>
    </row>
    <row r="32" spans="2:4" customFormat="1" ht="14.5" x14ac:dyDescent="0.35">
      <c r="B32" s="244" t="s">
        <v>12</v>
      </c>
      <c r="D32" t="s">
        <v>15</v>
      </c>
    </row>
    <row r="33" spans="2:4" customFormat="1" ht="14.5" x14ac:dyDescent="0.35">
      <c r="B33" s="24" t="s">
        <v>12</v>
      </c>
      <c r="D33" t="s">
        <v>16</v>
      </c>
    </row>
    <row r="34" spans="2:4" customFormat="1" ht="14.5" x14ac:dyDescent="0.35">
      <c r="B34" s="25" t="s">
        <v>12</v>
      </c>
      <c r="D34" t="s">
        <v>17</v>
      </c>
    </row>
    <row r="35" spans="2:4" customFormat="1" ht="14.5" x14ac:dyDescent="0.35">
      <c r="B35" s="26" t="s">
        <v>12</v>
      </c>
      <c r="D35" t="s">
        <v>18</v>
      </c>
    </row>
    <row r="36" spans="2:4" customFormat="1" ht="14.5" x14ac:dyDescent="0.35">
      <c r="B36" s="27" t="s">
        <v>12</v>
      </c>
      <c r="D36" t="s">
        <v>19</v>
      </c>
    </row>
    <row r="37" spans="2:4" customFormat="1" ht="14.5" x14ac:dyDescent="0.35">
      <c r="B37" s="28" t="s">
        <v>20</v>
      </c>
      <c r="D37" t="s">
        <v>21</v>
      </c>
    </row>
    <row r="38" spans="2:4" customFormat="1" ht="15" customHeight="1" x14ac:dyDescent="0.35">
      <c r="B38" s="29" t="s">
        <v>20</v>
      </c>
      <c r="D38" t="s">
        <v>22</v>
      </c>
    </row>
    <row r="39" spans="2:4" customFormat="1" ht="15" customHeight="1" x14ac:dyDescent="0.35">
      <c r="B39" s="1" t="s">
        <v>20</v>
      </c>
      <c r="D39" t="s">
        <v>23</v>
      </c>
    </row>
    <row r="40" spans="2:4" customFormat="1" ht="15" customHeight="1" x14ac:dyDescent="0.35">
      <c r="B40" s="30" t="s">
        <v>20</v>
      </c>
      <c r="D40" t="s">
        <v>24</v>
      </c>
    </row>
    <row r="41" spans="2:4" customFormat="1" ht="15" customHeight="1" x14ac:dyDescent="0.35">
      <c r="B41" s="31" t="s">
        <v>20</v>
      </c>
      <c r="D41" t="s">
        <v>25</v>
      </c>
    </row>
    <row r="42" spans="2:4" customFormat="1" ht="15" customHeight="1" x14ac:dyDescent="0.35">
      <c r="B42" s="32" t="s">
        <v>20</v>
      </c>
      <c r="D42" t="s">
        <v>26</v>
      </c>
    </row>
    <row r="43" spans="2:4" customFormat="1" ht="15" customHeight="1" x14ac:dyDescent="0.35">
      <c r="B43" s="33" t="s">
        <v>27</v>
      </c>
      <c r="D43" t="s">
        <v>28</v>
      </c>
    </row>
    <row r="44" spans="2:4" customFormat="1" ht="15" customHeight="1" x14ac:dyDescent="0.35">
      <c r="B44" s="34" t="s">
        <v>27</v>
      </c>
      <c r="D44" t="s">
        <v>29</v>
      </c>
    </row>
    <row r="45" spans="2:4" customFormat="1" ht="15" customHeight="1" x14ac:dyDescent="0.35">
      <c r="B45" s="35" t="s">
        <v>27</v>
      </c>
      <c r="D45" t="s">
        <v>30</v>
      </c>
    </row>
    <row r="46" spans="2:4" customFormat="1" ht="15" customHeight="1" x14ac:dyDescent="0.35">
      <c r="B46" s="36" t="s">
        <v>27</v>
      </c>
      <c r="C46" s="37"/>
      <c r="D46" s="37" t="s">
        <v>31</v>
      </c>
    </row>
    <row r="47" spans="2:4" ht="15" customHeight="1" x14ac:dyDescent="0.35">
      <c r="D47" s="38"/>
    </row>
    <row r="48" spans="2:4" ht="15" customHeight="1" x14ac:dyDescent="0.35">
      <c r="B48" s="4"/>
    </row>
    <row r="49" spans="2:4" ht="15" customHeight="1" x14ac:dyDescent="0.35">
      <c r="B49" s="39"/>
    </row>
    <row r="50" spans="2:4" ht="15" customHeight="1" x14ac:dyDescent="0.35">
      <c r="B50" s="39"/>
    </row>
    <row r="51" spans="2:4" ht="15" customHeight="1" x14ac:dyDescent="0.35">
      <c r="B51" s="39"/>
    </row>
    <row r="52" spans="2:4" ht="15" customHeight="1" x14ac:dyDescent="0.35">
      <c r="B52" s="3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style="6" customWidth="1"/>
    <col min="6" max="6" width="20.7265625" style="6" customWidth="1"/>
    <col min="7" max="7" width="22.7265625" style="6" customWidth="1"/>
    <col min="8" max="8" width="24.26953125" style="6" customWidth="1"/>
    <col min="9" max="9" width="30.7265625" style="6" customWidth="1"/>
    <col min="10" max="10" width="19.453125" style="6" bestFit="1" customWidth="1"/>
    <col min="11" max="11" width="10.54296875" style="6" customWidth="1"/>
    <col min="12" max="12" width="82.54296875" style="6" customWidth="1"/>
    <col min="13" max="13" width="2.54296875" style="6" customWidth="1"/>
    <col min="14" max="16384" width="9.26953125" style="6" hidden="1"/>
  </cols>
  <sheetData>
    <row r="1" spans="1:13" s="1" customFormat="1" x14ac:dyDescent="0.35">
      <c r="A1" s="1" t="str">
        <f ca="1">MID(CELL("filename",A1),FIND("]",CELL("filename",A1))+1,255)</f>
        <v>Version control</v>
      </c>
    </row>
    <row r="2" spans="1:13" s="1" customFormat="1" x14ac:dyDescent="0.35">
      <c r="A2" s="1" t="str">
        <f>Cover!D21&amp;" - "&amp;Cover!D23</f>
        <v>Scottish Hydro Electric Power Distribution plc - Final_V1.1 (Updated 31-01-22)</v>
      </c>
    </row>
    <row r="3" spans="1:13" s="5" customFormat="1" x14ac:dyDescent="0.35">
      <c r="A3" s="5" t="str">
        <f>Cover!D2&amp;" - "&amp;Cover!D8&amp;" v"&amp;Cover!D10&amp;" - "&amp;Cover!D19</f>
        <v>CDCM charging model - Release for charge setting v7 - 2022/23</v>
      </c>
    </row>
    <row r="4" spans="1:13" customFormat="1" x14ac:dyDescent="0.35">
      <c r="A4" s="12" t="str">
        <f>J58 &amp; IF(J58 = 1, " issue", " issues") &amp;" identified in checks on this sheet"</f>
        <v>0 issues identified in checks on this sheet</v>
      </c>
      <c r="B4" s="13"/>
      <c r="C4" s="13"/>
      <c r="D4" s="13"/>
      <c r="E4" s="13"/>
      <c r="F4" s="13"/>
      <c r="G4" s="13"/>
      <c r="H4" s="14"/>
      <c r="I4" s="14"/>
      <c r="J4" s="13"/>
    </row>
    <row r="5" spans="1:13" x14ac:dyDescent="0.35">
      <c r="A5" s="40"/>
      <c r="B5" s="41" t="s">
        <v>32</v>
      </c>
      <c r="C5" s="41"/>
      <c r="D5" s="41"/>
      <c r="E5" s="41"/>
      <c r="F5" s="41"/>
      <c r="G5" s="42"/>
      <c r="H5" s="42"/>
      <c r="I5" s="42"/>
      <c r="J5" s="42"/>
      <c r="K5" s="42"/>
      <c r="L5" s="41"/>
    </row>
    <row r="6" spans="1:13" x14ac:dyDescent="0.35">
      <c r="A6" s="40"/>
      <c r="B6" s="40"/>
      <c r="C6" s="40"/>
      <c r="D6" s="40"/>
      <c r="E6" s="40"/>
      <c r="F6" s="40"/>
      <c r="G6" s="43"/>
      <c r="H6" s="43"/>
      <c r="I6" s="43"/>
      <c r="J6" s="43"/>
      <c r="K6" s="43"/>
      <c r="L6" s="40"/>
    </row>
    <row r="7" spans="1:13" x14ac:dyDescent="0.35">
      <c r="A7" s="40"/>
      <c r="B7" s="40"/>
      <c r="C7" s="40"/>
      <c r="D7" s="40"/>
      <c r="F7" s="40" t="s">
        <v>33</v>
      </c>
      <c r="H7" s="10">
        <f>LOOKUP(2,1/(F20:F30&lt;&gt;""),F20:F30)</f>
        <v>44141</v>
      </c>
      <c r="I7" s="44"/>
      <c r="J7" s="44"/>
      <c r="K7" s="40"/>
      <c r="L7" s="40"/>
    </row>
    <row r="8" spans="1:13" x14ac:dyDescent="0.35">
      <c r="A8" s="40"/>
      <c r="B8" s="40"/>
      <c r="C8" s="40"/>
      <c r="D8" s="40"/>
      <c r="F8" s="40"/>
      <c r="H8" s="40"/>
      <c r="I8" s="43"/>
      <c r="J8" s="43"/>
      <c r="K8" s="40"/>
      <c r="L8" s="40"/>
    </row>
    <row r="9" spans="1:13" x14ac:dyDescent="0.35">
      <c r="A9" s="40"/>
      <c r="B9" s="40"/>
      <c r="C9" s="40"/>
      <c r="D9" s="40"/>
      <c r="F9" s="40" t="s">
        <v>34</v>
      </c>
      <c r="H9" s="45" t="str">
        <f>LOOKUP(2,1/(G20:G30&lt;&gt;""),G20:G30)</f>
        <v>Release for charge setting</v>
      </c>
      <c r="I9" s="46"/>
      <c r="J9" s="46"/>
      <c r="K9" s="40"/>
      <c r="L9" s="40"/>
    </row>
    <row r="10" spans="1:13" x14ac:dyDescent="0.35">
      <c r="A10" s="40"/>
      <c r="B10" s="40"/>
      <c r="C10" s="40"/>
      <c r="D10" s="40"/>
      <c r="F10" s="40"/>
      <c r="H10" s="40"/>
      <c r="I10" s="40"/>
      <c r="J10" s="40"/>
      <c r="K10" s="40"/>
      <c r="L10" s="40"/>
    </row>
    <row r="11" spans="1:13" x14ac:dyDescent="0.35">
      <c r="A11" s="40"/>
      <c r="B11" s="40"/>
      <c r="C11" s="40"/>
      <c r="D11" s="40"/>
      <c r="F11" s="298" t="s">
        <v>824</v>
      </c>
      <c r="H11" s="45">
        <f>LOOKUP(2,1/(H20:H30&lt;&gt;""),H20:H30)</f>
        <v>7</v>
      </c>
      <c r="I11" s="46"/>
      <c r="J11" s="46"/>
      <c r="K11" s="40"/>
      <c r="L11" s="40"/>
    </row>
    <row r="12" spans="1:13" x14ac:dyDescent="0.35">
      <c r="A12" s="40"/>
      <c r="B12" s="40"/>
      <c r="C12" s="40"/>
      <c r="D12" s="40"/>
      <c r="F12" s="40"/>
      <c r="H12" s="40"/>
      <c r="I12" s="43"/>
      <c r="J12" s="43"/>
      <c r="K12" s="40"/>
      <c r="L12" s="40"/>
    </row>
    <row r="13" spans="1:13" customFormat="1" x14ac:dyDescent="0.35">
      <c r="A13" s="9"/>
      <c r="B13" s="9"/>
      <c r="C13" s="9"/>
      <c r="D13" s="9"/>
      <c r="E13" s="6"/>
      <c r="F13" s="40" t="s">
        <v>35</v>
      </c>
      <c r="H13" s="10" t="str">
        <f>LOOKUP(2,1/(I20:I30&lt;&gt;""),I20:I30)</f>
        <v>01 April 2022 Charging Methodologies Pre-Release – October 2020 (Schedules 16, 17, 18, 20 and 29) DCP 361</v>
      </c>
      <c r="I13" s="11"/>
      <c r="J13" s="11"/>
      <c r="K13" s="11"/>
      <c r="L13" s="9"/>
      <c r="M13" s="9"/>
    </row>
    <row r="14" spans="1:13" customFormat="1" x14ac:dyDescent="0.35">
      <c r="A14" s="9"/>
      <c r="B14" s="9"/>
      <c r="C14" s="9"/>
      <c r="D14" s="9"/>
      <c r="E14" s="6"/>
      <c r="F14" s="9"/>
      <c r="I14" s="11"/>
      <c r="J14" s="11"/>
      <c r="K14" s="11"/>
      <c r="L14" s="9"/>
      <c r="M14" s="9"/>
    </row>
    <row r="15" spans="1:13" x14ac:dyDescent="0.35">
      <c r="A15" s="40"/>
      <c r="B15" s="40"/>
      <c r="C15" s="40"/>
      <c r="D15" s="40"/>
      <c r="F15" s="40" t="s">
        <v>36</v>
      </c>
      <c r="H15" s="45" t="str">
        <f>LOOKUP(2,1/(J20:J30&lt;&gt;""),J20:J30)</f>
        <v>Schedule 16</v>
      </c>
      <c r="I15" s="43"/>
      <c r="J15" s="43"/>
      <c r="K15" s="40"/>
      <c r="L15" s="40"/>
    </row>
    <row r="16" spans="1:13" x14ac:dyDescent="0.35">
      <c r="A16" s="40"/>
      <c r="B16" s="40"/>
      <c r="C16" s="40"/>
      <c r="D16" s="40"/>
      <c r="E16" s="40"/>
      <c r="F16" s="40"/>
      <c r="H16" s="43"/>
      <c r="I16" s="43"/>
      <c r="J16" s="43"/>
      <c r="K16" s="40"/>
      <c r="L16" s="40"/>
    </row>
    <row r="17" spans="1:12" x14ac:dyDescent="0.35">
      <c r="A17" s="40"/>
      <c r="B17" s="41" t="s">
        <v>37</v>
      </c>
      <c r="C17" s="41"/>
      <c r="D17" s="41"/>
      <c r="E17" s="41"/>
      <c r="F17" s="41"/>
      <c r="G17" s="42"/>
      <c r="H17" s="42"/>
      <c r="I17" s="42"/>
      <c r="J17" s="42"/>
      <c r="K17" s="42"/>
      <c r="L17" s="41"/>
    </row>
    <row r="18" spans="1:12" x14ac:dyDescent="0.35">
      <c r="A18" s="40"/>
      <c r="B18" s="40"/>
      <c r="C18" s="40"/>
      <c r="D18" s="40"/>
      <c r="E18" s="40"/>
      <c r="F18" s="40"/>
      <c r="G18" s="43"/>
      <c r="H18" s="40"/>
      <c r="I18" s="40"/>
      <c r="J18" s="40"/>
      <c r="K18" s="40"/>
      <c r="L18" s="40"/>
    </row>
    <row r="19" spans="1:12" x14ac:dyDescent="0.35">
      <c r="A19" s="40"/>
      <c r="B19" s="40"/>
      <c r="C19" s="40"/>
      <c r="D19" s="40"/>
      <c r="E19" s="40"/>
      <c r="F19" s="47" t="s">
        <v>38</v>
      </c>
      <c r="G19" s="48" t="s">
        <v>39</v>
      </c>
      <c r="H19" s="47" t="s">
        <v>821</v>
      </c>
      <c r="I19" s="48" t="s">
        <v>40</v>
      </c>
      <c r="J19" s="48" t="s">
        <v>41</v>
      </c>
      <c r="K19" s="48" t="s">
        <v>42</v>
      </c>
      <c r="L19" s="48" t="s">
        <v>43</v>
      </c>
    </row>
    <row r="20" spans="1:12" ht="29" x14ac:dyDescent="0.35">
      <c r="A20" s="40"/>
      <c r="B20" s="40"/>
      <c r="C20" s="40"/>
      <c r="D20" s="40"/>
      <c r="E20" s="40"/>
      <c r="F20" s="245">
        <v>43250</v>
      </c>
      <c r="G20" s="241" t="s">
        <v>44</v>
      </c>
      <c r="H20" s="241">
        <v>1</v>
      </c>
      <c r="I20" s="241" t="s">
        <v>45</v>
      </c>
      <c r="J20" s="241" t="s">
        <v>46</v>
      </c>
      <c r="K20" s="241" t="s">
        <v>47</v>
      </c>
      <c r="L20" s="241" t="s">
        <v>48</v>
      </c>
    </row>
    <row r="21" spans="1:12" ht="29" x14ac:dyDescent="0.35">
      <c r="A21" s="40"/>
      <c r="B21" s="40"/>
      <c r="C21" s="40"/>
      <c r="D21" s="40"/>
      <c r="E21" s="40"/>
      <c r="F21" s="245">
        <v>43301</v>
      </c>
      <c r="G21" s="241" t="s">
        <v>44</v>
      </c>
      <c r="H21" s="241">
        <v>2</v>
      </c>
      <c r="I21" s="241" t="s">
        <v>49</v>
      </c>
      <c r="J21" s="241" t="s">
        <v>46</v>
      </c>
      <c r="K21" s="241" t="s">
        <v>47</v>
      </c>
      <c r="L21" s="241" t="s">
        <v>50</v>
      </c>
    </row>
    <row r="22" spans="1:12" ht="43.5" x14ac:dyDescent="0.35">
      <c r="A22" s="40"/>
      <c r="B22" s="40"/>
      <c r="C22" s="40"/>
      <c r="D22" s="40"/>
      <c r="E22" s="40"/>
      <c r="F22" s="245">
        <v>43389</v>
      </c>
      <c r="G22" s="241" t="s">
        <v>822</v>
      </c>
      <c r="H22" s="241">
        <v>3</v>
      </c>
      <c r="I22" s="296" t="s">
        <v>823</v>
      </c>
      <c r="J22" s="296" t="s">
        <v>46</v>
      </c>
      <c r="K22" s="296" t="s">
        <v>47</v>
      </c>
      <c r="L22" s="296" t="s">
        <v>825</v>
      </c>
    </row>
    <row r="23" spans="1:12" ht="43.5" x14ac:dyDescent="0.35">
      <c r="A23" s="40"/>
      <c r="B23" s="40"/>
      <c r="C23" s="40"/>
      <c r="D23" s="40"/>
      <c r="E23" s="40"/>
      <c r="F23" s="245">
        <v>43663</v>
      </c>
      <c r="G23" s="241" t="s">
        <v>44</v>
      </c>
      <c r="H23" s="241">
        <v>4</v>
      </c>
      <c r="I23" s="241" t="s">
        <v>857</v>
      </c>
      <c r="J23" s="296" t="s">
        <v>46</v>
      </c>
      <c r="K23" s="296" t="s">
        <v>47</v>
      </c>
      <c r="L23" s="241" t="s">
        <v>858</v>
      </c>
    </row>
    <row r="24" spans="1:12" ht="58" x14ac:dyDescent="0.35">
      <c r="A24" s="40"/>
      <c r="B24" s="40"/>
      <c r="C24" s="40"/>
      <c r="D24" s="40"/>
      <c r="E24" s="40"/>
      <c r="F24" s="245">
        <v>43777</v>
      </c>
      <c r="G24" s="241" t="s">
        <v>822</v>
      </c>
      <c r="H24" s="241">
        <v>5</v>
      </c>
      <c r="I24" s="241" t="s">
        <v>904</v>
      </c>
      <c r="J24" s="241" t="s">
        <v>46</v>
      </c>
      <c r="K24" s="241" t="s">
        <v>47</v>
      </c>
      <c r="L24" s="296" t="s">
        <v>896</v>
      </c>
    </row>
    <row r="25" spans="1:12" ht="72.5" x14ac:dyDescent="0.35">
      <c r="A25" s="40"/>
      <c r="B25" s="40"/>
      <c r="C25" s="40"/>
      <c r="D25" s="40"/>
      <c r="E25" s="40"/>
      <c r="F25" s="245">
        <v>43860</v>
      </c>
      <c r="G25" s="241" t="s">
        <v>822</v>
      </c>
      <c r="H25" s="241">
        <v>6</v>
      </c>
      <c r="I25" s="241" t="s">
        <v>907</v>
      </c>
      <c r="J25" s="241" t="s">
        <v>46</v>
      </c>
      <c r="K25" s="241" t="s">
        <v>47</v>
      </c>
      <c r="L25" s="296" t="s">
        <v>908</v>
      </c>
    </row>
    <row r="26" spans="1:12" ht="29" x14ac:dyDescent="0.35">
      <c r="A26" s="40"/>
      <c r="B26" s="40"/>
      <c r="C26" s="40"/>
      <c r="D26" s="40"/>
      <c r="E26" s="40"/>
      <c r="F26" s="245">
        <v>43977</v>
      </c>
      <c r="G26" s="241" t="s">
        <v>44</v>
      </c>
      <c r="H26" s="241">
        <v>6</v>
      </c>
      <c r="I26" s="241" t="s">
        <v>1129</v>
      </c>
      <c r="J26" s="241" t="s">
        <v>46</v>
      </c>
      <c r="K26" s="241" t="s">
        <v>47</v>
      </c>
      <c r="L26" s="241" t="s">
        <v>1130</v>
      </c>
    </row>
    <row r="27" spans="1:12" ht="58" x14ac:dyDescent="0.35">
      <c r="A27" s="40"/>
      <c r="B27" s="40"/>
      <c r="C27" s="40"/>
      <c r="D27" s="40"/>
      <c r="E27" s="40"/>
      <c r="F27" s="245">
        <v>44141</v>
      </c>
      <c r="G27" s="241" t="s">
        <v>822</v>
      </c>
      <c r="H27" s="241">
        <v>7</v>
      </c>
      <c r="I27" s="241" t="s">
        <v>1143</v>
      </c>
      <c r="J27" s="241" t="s">
        <v>46</v>
      </c>
      <c r="K27" s="241" t="s">
        <v>47</v>
      </c>
      <c r="L27" s="241" t="s">
        <v>1144</v>
      </c>
    </row>
    <row r="28" spans="1:12" x14ac:dyDescent="0.35">
      <c r="A28" s="40"/>
      <c r="B28" s="40"/>
      <c r="C28" s="40"/>
      <c r="D28" s="40"/>
      <c r="E28" s="40"/>
      <c r="F28" s="245"/>
      <c r="G28" s="241"/>
      <c r="H28" s="241"/>
      <c r="I28" s="241"/>
      <c r="J28" s="241"/>
      <c r="K28" s="241"/>
      <c r="L28" s="241"/>
    </row>
    <row r="29" spans="1:12" x14ac:dyDescent="0.35">
      <c r="A29" s="40"/>
      <c r="B29" s="40"/>
      <c r="C29" s="40"/>
      <c r="D29" s="40"/>
      <c r="E29" s="40"/>
      <c r="F29" s="245"/>
      <c r="G29" s="241"/>
      <c r="H29" s="241"/>
      <c r="I29" s="241"/>
      <c r="J29" s="241"/>
      <c r="K29" s="241"/>
      <c r="L29" s="241"/>
    </row>
    <row r="31" spans="1:12" x14ac:dyDescent="0.35">
      <c r="B31" s="41" t="s">
        <v>51</v>
      </c>
      <c r="C31" s="41"/>
      <c r="D31" s="41"/>
      <c r="E31" s="41"/>
      <c r="F31" s="41"/>
      <c r="G31" s="42"/>
      <c r="H31" s="42"/>
      <c r="I31" s="42"/>
      <c r="J31" s="42"/>
      <c r="K31" s="42"/>
      <c r="L31" s="41"/>
    </row>
    <row r="33" spans="5:10" x14ac:dyDescent="0.35">
      <c r="E33" s="32" t="s">
        <v>52</v>
      </c>
      <c r="F33" s="49"/>
      <c r="G33" s="50"/>
      <c r="H33" s="50"/>
      <c r="I33" s="50"/>
      <c r="J33" s="50"/>
    </row>
    <row r="34" spans="5:10" x14ac:dyDescent="0.35">
      <c r="F34" s="6" t="s">
        <v>53</v>
      </c>
      <c r="H34" s="243" t="s">
        <v>54</v>
      </c>
      <c r="I34" s="6" t="s">
        <v>55</v>
      </c>
      <c r="J34" s="51">
        <f>'Fixed inputs'!H196</f>
        <v>0</v>
      </c>
    </row>
    <row r="35" spans="5:10" x14ac:dyDescent="0.35">
      <c r="F35" s="6" t="s">
        <v>56</v>
      </c>
      <c r="H35" s="243" t="s">
        <v>57</v>
      </c>
      <c r="I35" s="6" t="s">
        <v>55</v>
      </c>
      <c r="J35" s="51">
        <f>'Inputs by customer type'!H236</f>
        <v>0</v>
      </c>
    </row>
    <row r="36" spans="5:10" x14ac:dyDescent="0.35">
      <c r="F36" s="6" t="s">
        <v>58</v>
      </c>
      <c r="H36" s="243" t="s">
        <v>59</v>
      </c>
      <c r="I36" s="6" t="s">
        <v>55</v>
      </c>
      <c r="J36" s="52">
        <f>'Inputs by network level'!H56</f>
        <v>0</v>
      </c>
    </row>
    <row r="37" spans="5:10" x14ac:dyDescent="0.35">
      <c r="F37" s="6" t="s">
        <v>60</v>
      </c>
      <c r="H37" s="243" t="s">
        <v>61</v>
      </c>
      <c r="I37" s="6" t="s">
        <v>55</v>
      </c>
      <c r="J37" s="51">
        <f>'General inputs'!H114</f>
        <v>0</v>
      </c>
    </row>
    <row r="38" spans="5:10" x14ac:dyDescent="0.35">
      <c r="F38" s="6" t="s">
        <v>62</v>
      </c>
      <c r="H38" s="243" t="s">
        <v>63</v>
      </c>
      <c r="I38" s="6" t="s">
        <v>55</v>
      </c>
      <c r="J38" s="52">
        <f>'Standing charge factors'!H58</f>
        <v>0</v>
      </c>
    </row>
    <row r="39" spans="5:10" x14ac:dyDescent="0.35">
      <c r="F39" s="6" t="s">
        <v>64</v>
      </c>
      <c r="H39" s="243" t="s">
        <v>65</v>
      </c>
      <c r="I39" s="6" t="s">
        <v>55</v>
      </c>
      <c r="J39" s="52">
        <f>'Load &amp; loss characteristics'!H183</f>
        <v>0</v>
      </c>
    </row>
    <row r="40" spans="5:10" x14ac:dyDescent="0.35">
      <c r="F40" s="6" t="s">
        <v>66</v>
      </c>
      <c r="H40" s="243" t="s">
        <v>67</v>
      </c>
      <c r="I40" s="6" t="s">
        <v>55</v>
      </c>
      <c r="J40" s="52">
        <f>'Customer contributions'!H70</f>
        <v>0</v>
      </c>
    </row>
    <row r="41" spans="5:10" x14ac:dyDescent="0.35">
      <c r="F41" s="6" t="s">
        <v>68</v>
      </c>
      <c r="H41" s="243" t="s">
        <v>69</v>
      </c>
      <c r="I41" s="6" t="s">
        <v>55</v>
      </c>
      <c r="J41" s="52">
        <f>'Volume adjustments'!H693</f>
        <v>0</v>
      </c>
    </row>
    <row r="42" spans="5:10" x14ac:dyDescent="0.35">
      <c r="F42" s="6" t="s">
        <v>70</v>
      </c>
      <c r="H42" s="243" t="s">
        <v>71</v>
      </c>
      <c r="I42" s="6" t="s">
        <v>55</v>
      </c>
      <c r="J42" s="52">
        <f>'Pseudo-load coefficients'!H306</f>
        <v>0</v>
      </c>
    </row>
    <row r="43" spans="5:10" x14ac:dyDescent="0.35">
      <c r="F43" s="6" t="s">
        <v>72</v>
      </c>
      <c r="H43" s="243" t="s">
        <v>73</v>
      </c>
      <c r="I43" s="6" t="s">
        <v>55</v>
      </c>
      <c r="J43" s="52">
        <f>'System peak demand'!H281</f>
        <v>0</v>
      </c>
    </row>
    <row r="44" spans="5:10" x14ac:dyDescent="0.35">
      <c r="F44" s="6" t="s">
        <v>74</v>
      </c>
      <c r="H44" s="243" t="s">
        <v>75</v>
      </c>
      <c r="I44" s="6" t="s">
        <v>55</v>
      </c>
      <c r="J44" s="52">
        <f>'Service model assets'!H38</f>
        <v>0</v>
      </c>
    </row>
    <row r="45" spans="5:10" x14ac:dyDescent="0.35">
      <c r="F45" s="6" t="s">
        <v>76</v>
      </c>
      <c r="H45" s="243" t="s">
        <v>77</v>
      </c>
      <c r="I45" s="6" t="s">
        <v>55</v>
      </c>
      <c r="J45" s="52">
        <f>'Unit costs'!H131</f>
        <v>0</v>
      </c>
    </row>
    <row r="46" spans="5:10" x14ac:dyDescent="0.35">
      <c r="F46" s="6" t="s">
        <v>78</v>
      </c>
      <c r="H46" s="243" t="s">
        <v>79</v>
      </c>
      <c r="I46" s="6" t="s">
        <v>55</v>
      </c>
      <c r="J46" s="52">
        <f>'Initial unit rates'!H241</f>
        <v>0</v>
      </c>
    </row>
    <row r="47" spans="5:10" x14ac:dyDescent="0.35">
      <c r="F47" s="6" t="s">
        <v>80</v>
      </c>
      <c r="H47" s="243" t="s">
        <v>81</v>
      </c>
      <c r="I47" s="6" t="s">
        <v>55</v>
      </c>
      <c r="J47" s="52">
        <f>'Service model charges'!H48</f>
        <v>0</v>
      </c>
    </row>
    <row r="48" spans="5:10" x14ac:dyDescent="0.35">
      <c r="F48" s="6" t="s">
        <v>82</v>
      </c>
      <c r="H48" s="243" t="s">
        <v>83</v>
      </c>
      <c r="I48" s="6" t="s">
        <v>55</v>
      </c>
      <c r="J48" s="52">
        <f>'Unit rate charges'!H223</f>
        <v>0</v>
      </c>
    </row>
    <row r="49" spans="2:12" x14ac:dyDescent="0.35">
      <c r="F49" s="6" t="s">
        <v>86</v>
      </c>
      <c r="H49" s="243" t="s">
        <v>85</v>
      </c>
      <c r="I49" s="6" t="s">
        <v>55</v>
      </c>
      <c r="J49" s="52">
        <f>'Capacity charges'!H295</f>
        <v>0</v>
      </c>
    </row>
    <row r="50" spans="2:12" x14ac:dyDescent="0.35">
      <c r="F50" s="6" t="s">
        <v>84</v>
      </c>
      <c r="H50" s="243" t="s">
        <v>87</v>
      </c>
      <c r="I50" s="6" t="s">
        <v>55</v>
      </c>
      <c r="J50" s="52">
        <f>'Reactive power charges'!H254</f>
        <v>0</v>
      </c>
    </row>
    <row r="51" spans="2:12" x14ac:dyDescent="0.35">
      <c r="F51" s="6" t="s">
        <v>88</v>
      </c>
      <c r="H51" s="243" t="s">
        <v>89</v>
      </c>
      <c r="I51" s="6" t="s">
        <v>55</v>
      </c>
      <c r="J51" s="52">
        <f>'Fixed charges'!H165</f>
        <v>0</v>
      </c>
    </row>
    <row r="52" spans="2:12" x14ac:dyDescent="0.35">
      <c r="F52" s="6" t="s">
        <v>1157</v>
      </c>
      <c r="H52" s="243" t="s">
        <v>91</v>
      </c>
      <c r="I52" s="6" t="s">
        <v>55</v>
      </c>
      <c r="J52" s="52">
        <f>'SoLR &amp; bad debt adders'!H66</f>
        <v>0</v>
      </c>
    </row>
    <row r="53" spans="2:12" x14ac:dyDescent="0.35">
      <c r="F53" s="6" t="s">
        <v>90</v>
      </c>
      <c r="H53" s="243" t="s">
        <v>93</v>
      </c>
      <c r="I53" s="6" t="s">
        <v>55</v>
      </c>
      <c r="J53" s="52">
        <f>'Revenue matching'!H432</f>
        <v>0</v>
      </c>
    </row>
    <row r="54" spans="2:12" x14ac:dyDescent="0.35">
      <c r="F54" s="6" t="s">
        <v>92</v>
      </c>
      <c r="H54" s="243" t="s">
        <v>95</v>
      </c>
      <c r="I54" s="6" t="s">
        <v>55</v>
      </c>
      <c r="J54" s="52">
        <f>Rounding!H178</f>
        <v>0</v>
      </c>
    </row>
    <row r="55" spans="2:12" x14ac:dyDescent="0.35">
      <c r="F55" s="6" t="s">
        <v>94</v>
      </c>
      <c r="H55" s="243" t="s">
        <v>886</v>
      </c>
      <c r="I55" s="6" t="s">
        <v>55</v>
      </c>
      <c r="J55" s="51">
        <f>'Net revenue summary'!$H$211</f>
        <v>0</v>
      </c>
    </row>
    <row r="56" spans="2:12" x14ac:dyDescent="0.35">
      <c r="F56" s="6" t="s">
        <v>96</v>
      </c>
      <c r="H56" s="243" t="s">
        <v>97</v>
      </c>
      <c r="I56" s="6" t="s">
        <v>55</v>
      </c>
      <c r="J56" s="52">
        <f>'Tariff summary'!$H$119</f>
        <v>0</v>
      </c>
    </row>
    <row r="57" spans="2:12" x14ac:dyDescent="0.35">
      <c r="F57" s="6" t="s">
        <v>98</v>
      </c>
      <c r="H57" s="243" t="s">
        <v>99</v>
      </c>
      <c r="I57" s="6" t="s">
        <v>55</v>
      </c>
      <c r="J57" s="51">
        <f>'Output to other models'!H78</f>
        <v>0</v>
      </c>
    </row>
    <row r="58" spans="2:12" x14ac:dyDescent="0.35">
      <c r="F58" s="53" t="s">
        <v>100</v>
      </c>
      <c r="G58" s="53"/>
      <c r="H58" s="53"/>
      <c r="I58" s="53" t="s">
        <v>55</v>
      </c>
      <c r="J58" s="436">
        <f>IFERROR(SUM(J34:J57), 1)</f>
        <v>0</v>
      </c>
    </row>
    <row r="60" spans="2:12" x14ac:dyDescent="0.35">
      <c r="B60" s="41" t="s">
        <v>101</v>
      </c>
      <c r="C60" s="41"/>
      <c r="D60" s="41"/>
      <c r="E60" s="41"/>
      <c r="F60" s="41"/>
      <c r="G60" s="42"/>
      <c r="H60" s="42"/>
      <c r="I60" s="42"/>
      <c r="J60" s="42"/>
      <c r="K60" s="42"/>
      <c r="L60" s="41"/>
    </row>
    <row r="62" spans="2:12" x14ac:dyDescent="0.35">
      <c r="F62" s="48" t="s">
        <v>102</v>
      </c>
    </row>
    <row r="63" spans="2:12" x14ac:dyDescent="0.35">
      <c r="F63" s="243" t="s">
        <v>103</v>
      </c>
    </row>
    <row r="64" spans="2:12" x14ac:dyDescent="0.35">
      <c r="F64" s="243" t="s">
        <v>104</v>
      </c>
    </row>
    <row r="65" spans="2:12" x14ac:dyDescent="0.35">
      <c r="F65" s="243" t="s">
        <v>44</v>
      </c>
    </row>
    <row r="66" spans="2:12" ht="29" x14ac:dyDescent="0.35">
      <c r="F66" s="297" t="s">
        <v>822</v>
      </c>
    </row>
    <row r="67" spans="2:12" x14ac:dyDescent="0.35">
      <c r="F67" s="243"/>
    </row>
    <row r="68" spans="2:12" x14ac:dyDescent="0.35">
      <c r="F68" s="243"/>
    </row>
    <row r="69" spans="2:12" x14ac:dyDescent="0.35">
      <c r="F69" s="243"/>
    </row>
    <row r="70" spans="2:12" x14ac:dyDescent="0.35">
      <c r="F70" s="243"/>
    </row>
    <row r="71" spans="2:12" x14ac:dyDescent="0.35">
      <c r="F71" s="243"/>
    </row>
    <row r="72" spans="2:12" x14ac:dyDescent="0.35">
      <c r="F72" s="243"/>
    </row>
    <row r="73" spans="2:12" x14ac:dyDescent="0.35">
      <c r="F73" s="243" t="s">
        <v>105</v>
      </c>
    </row>
    <row r="75" spans="2:12" x14ac:dyDescent="0.35">
      <c r="B75" s="41" t="s">
        <v>106</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8" priority="2" operator="greaterThan">
      <formula>0</formula>
    </cfRule>
  </conditionalFormatting>
  <conditionalFormatting sqref="A4:XFD4">
    <cfRule type="expression" dxfId="227"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xr:uid="{00000000-0002-0000-0100-000000000000}">
      <formula1>0</formula1>
    </dataValidation>
    <dataValidation type="date" operator="greaterThan" allowBlank="1" showInputMessage="1" showErrorMessage="1" promptTitle="Model date" prompt="Input a date" sqref="F20:F29"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xr:uid="{00000000-0002-0000-0100-000001000000}">
      <formula1>$F$63:$F$73</formula1>
    </dataValidation>
  </dataValidations>
  <hyperlinks>
    <hyperlink ref="I63" location="'Cover'!A1" display="Cover" xr:uid="{00000000-0004-0000-0100-000000000000}"/>
    <hyperlink ref="I64" location="'Version control'!A1" display="Version control" xr:uid="{00000000-0004-0000-0100-000001000000}"/>
    <hyperlink ref="I73" location="'Model map'!A1" display="Model map" xr:uid="{00000000-0004-0000-0100-000002000000}"/>
    <hyperlink ref="I74"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35"/>
  <cols>
    <col min="1" max="5" width="2.54296875" style="3" customWidth="1"/>
    <col min="6" max="6" width="30.54296875" style="3" customWidth="1"/>
    <col min="7" max="7" width="2.54296875" style="3" customWidth="1"/>
    <col min="8" max="8" width="25.54296875" style="4" customWidth="1"/>
    <col min="9" max="9" width="125.453125" style="4" customWidth="1"/>
    <col min="10" max="10" width="2.54296875" style="3" customWidth="1"/>
    <col min="11" max="16384" width="9.26953125" style="3" hidden="1"/>
  </cols>
  <sheetData>
    <row r="1" spans="1:9" s="1" customFormat="1" ht="14.5" x14ac:dyDescent="0.35">
      <c r="A1" s="1" t="str">
        <f ca="1">MID(CELL("filename",A1),FIND("]",CELL("filename",A1))+1,255)</f>
        <v>Model map</v>
      </c>
    </row>
    <row r="2" spans="1:9" s="1" customFormat="1" ht="14.5" x14ac:dyDescent="0.35">
      <c r="A2" s="1" t="str">
        <f>Cover!D21&amp;" - "&amp;Cover!D23</f>
        <v>Scottish Hydro Electric Power Distribution plc - Final_V1.1 (Updated 31-01-22)</v>
      </c>
    </row>
    <row r="3" spans="1:9" s="5" customFormat="1" ht="14.5" x14ac:dyDescent="0.35">
      <c r="A3" s="5" t="str">
        <f>Cover!D2&amp;" - "&amp;Cover!D8&amp;" v"&amp;Cover!D10&amp;" - "&amp;Cover!D19</f>
        <v>CDCM charging model - Release for charge setting v7 - 2022/23</v>
      </c>
    </row>
    <row r="5" spans="1:9" customFormat="1" ht="14.5" x14ac:dyDescent="0.35">
      <c r="A5" s="9"/>
      <c r="B5" s="41" t="s">
        <v>107</v>
      </c>
      <c r="C5" s="41"/>
      <c r="D5" s="41"/>
      <c r="E5" s="41"/>
      <c r="F5" s="41"/>
      <c r="G5" s="41"/>
      <c r="H5" s="41"/>
      <c r="I5" s="41"/>
    </row>
    <row r="7" spans="1:9" ht="15" customHeight="1" x14ac:dyDescent="0.35">
      <c r="F7" s="55"/>
      <c r="G7" s="55"/>
      <c r="H7" s="56"/>
      <c r="I7" s="56"/>
    </row>
    <row r="8" spans="1:9" ht="15" customHeight="1" x14ac:dyDescent="0.35">
      <c r="F8" s="55"/>
      <c r="G8" s="55"/>
    </row>
    <row r="9" spans="1:9" ht="15" customHeight="1" x14ac:dyDescent="0.35">
      <c r="F9" s="55"/>
      <c r="G9" s="55"/>
      <c r="H9" s="55"/>
      <c r="I9" s="55"/>
    </row>
    <row r="10" spans="1:9" ht="15" customHeight="1" x14ac:dyDescent="0.35">
      <c r="F10" s="55"/>
      <c r="G10" s="55"/>
      <c r="H10" s="55"/>
      <c r="I10" s="55"/>
    </row>
    <row r="11" spans="1:9" ht="15" customHeight="1" x14ac:dyDescent="0.35">
      <c r="F11" s="55"/>
      <c r="G11" s="55"/>
      <c r="H11" s="55"/>
      <c r="I11" s="3"/>
    </row>
    <row r="12" spans="1:9" ht="15" customHeight="1" x14ac:dyDescent="0.35">
      <c r="F12" s="55"/>
      <c r="H12" s="55"/>
      <c r="I12" s="3"/>
    </row>
    <row r="13" spans="1:9" ht="15" customHeight="1" x14ac:dyDescent="0.35">
      <c r="F13" s="55"/>
      <c r="H13" s="55"/>
      <c r="I13" s="3"/>
    </row>
    <row r="14" spans="1:9" ht="15" customHeight="1" x14ac:dyDescent="0.35">
      <c r="F14" s="55"/>
      <c r="H14" s="55"/>
      <c r="I14" s="3"/>
    </row>
    <row r="15" spans="1:9" ht="14.5" x14ac:dyDescent="0.35">
      <c r="F15" s="57"/>
      <c r="G15" s="57"/>
      <c r="H15" s="57"/>
      <c r="I15" s="57"/>
    </row>
    <row r="16" spans="1:9" ht="15" customHeight="1" x14ac:dyDescent="0.35">
      <c r="H16" s="57"/>
      <c r="I16" s="57"/>
    </row>
    <row r="17" spans="6:9" ht="15" customHeight="1" x14ac:dyDescent="0.35">
      <c r="H17" s="57"/>
      <c r="I17" s="57"/>
    </row>
    <row r="18" spans="6:9" ht="15" customHeight="1" x14ac:dyDescent="0.35">
      <c r="H18" s="57"/>
      <c r="I18" s="57"/>
    </row>
    <row r="19" spans="6:9" ht="15" customHeight="1" x14ac:dyDescent="0.35">
      <c r="F19" s="57"/>
      <c r="G19" s="57"/>
      <c r="H19" s="57"/>
      <c r="I19" s="57"/>
    </row>
    <row r="20" spans="6:9" ht="15" customHeight="1" x14ac:dyDescent="0.35">
      <c r="F20" s="57"/>
      <c r="G20" s="57"/>
      <c r="H20" s="57"/>
      <c r="I20" s="57"/>
    </row>
    <row r="21" spans="6:9" ht="15" customHeight="1" x14ac:dyDescent="0.35">
      <c r="F21" s="57"/>
      <c r="G21" s="57"/>
      <c r="H21" s="57"/>
      <c r="I21" s="57"/>
    </row>
    <row r="22" spans="6:9" ht="15" customHeight="1" x14ac:dyDescent="0.35">
      <c r="F22" s="57"/>
      <c r="G22" s="57"/>
      <c r="H22" s="57"/>
      <c r="I22" s="57"/>
    </row>
    <row r="23" spans="6:9" ht="15" customHeight="1" x14ac:dyDescent="0.35">
      <c r="F23" s="57"/>
      <c r="G23" s="57"/>
      <c r="H23" s="57"/>
      <c r="I23" s="57"/>
    </row>
    <row r="24" spans="6:9" ht="15" customHeight="1" x14ac:dyDescent="0.35">
      <c r="F24" s="57"/>
      <c r="G24" s="57"/>
      <c r="H24" s="57"/>
      <c r="I24" s="57"/>
    </row>
    <row r="25" spans="6:9" ht="15" customHeight="1" x14ac:dyDescent="0.35">
      <c r="F25" s="57"/>
      <c r="G25" s="57"/>
      <c r="H25" s="57"/>
      <c r="I25" s="57"/>
    </row>
    <row r="26" spans="6:9" ht="15" customHeight="1" x14ac:dyDescent="0.35">
      <c r="F26" s="57"/>
      <c r="G26" s="57"/>
      <c r="H26" s="57"/>
      <c r="I26" s="57"/>
    </row>
    <row r="27" spans="6:9" ht="15" customHeight="1" x14ac:dyDescent="0.35">
      <c r="F27" s="57"/>
      <c r="G27" s="57"/>
      <c r="H27" s="57"/>
      <c r="I27" s="57"/>
    </row>
    <row r="28" spans="6:9" ht="15" customHeight="1" x14ac:dyDescent="0.35">
      <c r="F28" s="57"/>
      <c r="G28" s="57"/>
      <c r="H28" s="57"/>
      <c r="I28" s="57"/>
    </row>
    <row r="29" spans="6:9" ht="15" customHeight="1" x14ac:dyDescent="0.35">
      <c r="F29" s="57"/>
      <c r="G29" s="57"/>
      <c r="H29" s="57"/>
      <c r="I29" s="57"/>
    </row>
    <row r="30" spans="6:9" ht="15" customHeight="1" x14ac:dyDescent="0.35">
      <c r="F30" s="57"/>
      <c r="G30" s="57"/>
      <c r="H30" s="57"/>
      <c r="I30" s="57"/>
    </row>
    <row r="31" spans="6:9" ht="15" customHeight="1" x14ac:dyDescent="0.35">
      <c r="F31" s="57"/>
      <c r="G31" s="57"/>
      <c r="H31" s="57"/>
      <c r="I31" s="57"/>
    </row>
    <row r="32" spans="6:9" ht="15" customHeight="1" x14ac:dyDescent="0.35">
      <c r="F32" s="57"/>
      <c r="G32" s="57"/>
      <c r="H32" s="57"/>
      <c r="I32" s="57"/>
    </row>
    <row r="33" spans="6:9" ht="15" customHeight="1" x14ac:dyDescent="0.35">
      <c r="F33" s="57"/>
      <c r="G33" s="57"/>
      <c r="H33" s="57"/>
      <c r="I33" s="57"/>
    </row>
    <row r="34" spans="6:9" customFormat="1" ht="14.5" x14ac:dyDescent="0.35">
      <c r="F34" s="57"/>
      <c r="G34" s="57"/>
      <c r="H34" s="57"/>
      <c r="I34" s="57"/>
    </row>
    <row r="35" spans="6:9" customFormat="1" ht="14.5" x14ac:dyDescent="0.35">
      <c r="F35" s="57"/>
      <c r="G35" s="57"/>
      <c r="H35" s="57"/>
      <c r="I35" s="57"/>
    </row>
    <row r="36" spans="6:9" customFormat="1" ht="14.5" x14ac:dyDescent="0.35">
      <c r="F36" s="57"/>
      <c r="G36" s="57"/>
      <c r="H36" s="57"/>
      <c r="I36" s="57"/>
    </row>
    <row r="37" spans="6:9" customFormat="1" ht="14.5" x14ac:dyDescent="0.35">
      <c r="F37" s="57"/>
      <c r="G37" s="57"/>
      <c r="H37" s="57"/>
      <c r="I37" s="57"/>
    </row>
    <row r="38" spans="6:9" customFormat="1" ht="14.5" x14ac:dyDescent="0.35">
      <c r="F38" s="57"/>
      <c r="G38" s="57"/>
      <c r="H38" s="57"/>
      <c r="I38" s="57"/>
    </row>
    <row r="39" spans="6:9" customFormat="1" ht="14.5" x14ac:dyDescent="0.35">
      <c r="F39" s="57"/>
      <c r="G39" s="57"/>
      <c r="H39" s="57"/>
      <c r="I39" s="57"/>
    </row>
    <row r="40" spans="6:9" customFormat="1" ht="14.5" x14ac:dyDescent="0.35">
      <c r="F40" s="57"/>
      <c r="G40" s="57"/>
      <c r="H40" s="57"/>
      <c r="I40" s="57"/>
    </row>
    <row r="41" spans="6:9" ht="15" customHeight="1" x14ac:dyDescent="0.35">
      <c r="F41" s="57"/>
      <c r="G41" s="57"/>
      <c r="H41" s="57"/>
      <c r="I41" s="57"/>
    </row>
    <row r="42" spans="6:9" ht="15" customHeight="1" x14ac:dyDescent="0.35">
      <c r="F42" s="57"/>
      <c r="G42" s="57"/>
      <c r="H42" s="57"/>
      <c r="I42" s="57"/>
    </row>
    <row r="43" spans="6:9" ht="15" customHeight="1" x14ac:dyDescent="0.35">
      <c r="F43" s="57"/>
      <c r="G43" s="57"/>
      <c r="H43" s="57"/>
      <c r="I43" s="57"/>
    </row>
    <row r="44" spans="6:9" ht="15" customHeight="1" x14ac:dyDescent="0.35">
      <c r="F44" s="57"/>
      <c r="G44" s="57"/>
      <c r="H44" s="57"/>
      <c r="I44" s="57"/>
    </row>
    <row r="45" spans="6:9" ht="15" customHeight="1" x14ac:dyDescent="0.35">
      <c r="F45" s="57"/>
      <c r="G45" s="57"/>
      <c r="H45" s="57"/>
      <c r="I45" s="57"/>
    </row>
    <row r="46" spans="6:9" ht="15" customHeight="1" x14ac:dyDescent="0.35">
      <c r="F46" s="57"/>
      <c r="G46" s="57"/>
      <c r="H46" s="57"/>
      <c r="I46" s="57"/>
    </row>
    <row r="47" spans="6:9" ht="15" customHeight="1" x14ac:dyDescent="0.35">
      <c r="F47" s="39"/>
      <c r="H47" s="3"/>
      <c r="I47" s="3"/>
    </row>
    <row r="51" spans="1:10" customFormat="1" ht="14.5" x14ac:dyDescent="0.35">
      <c r="A51" s="9"/>
      <c r="B51" s="9"/>
      <c r="C51" s="9"/>
      <c r="D51" s="9"/>
      <c r="E51" s="9"/>
      <c r="F51" s="9"/>
      <c r="G51" s="9"/>
      <c r="H51" s="9"/>
      <c r="I51" s="9"/>
      <c r="J51" s="9"/>
    </row>
    <row r="62" spans="1:10" ht="15" customHeight="1" x14ac:dyDescent="0.35">
      <c r="A62" s="41" t="s">
        <v>106</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27.81640625" bestFit="1" customWidth="1"/>
    <col min="7" max="7" width="134.453125" bestFit="1" customWidth="1"/>
    <col min="8" max="8" width="2.54296875" customWidth="1"/>
    <col min="9" max="9" width="59.54296875" hidden="1" customWidth="1"/>
    <col min="10" max="20" width="15.453125" hidden="1" customWidth="1"/>
    <col min="21" max="21" width="2.54296875" hidden="1" customWidth="1"/>
    <col min="22" max="16384" width="9.26953125" hidden="1"/>
  </cols>
  <sheetData>
    <row r="1" spans="1:7" s="1" customFormat="1" x14ac:dyDescent="0.35">
      <c r="A1" s="1" t="str">
        <f ca="1">MID(CELL("filename",A1),FIND("]",CELL("filename",A1))+1,255)</f>
        <v>Index</v>
      </c>
    </row>
    <row r="2" spans="1:7" s="1" customFormat="1" x14ac:dyDescent="0.35">
      <c r="A2" s="1" t="str">
        <f>Cover!D21&amp;" - "&amp;Cover!D23</f>
        <v>Scottish Hydro Electric Power Distribution plc - Final_V1.1 (Updated 31-01-22)</v>
      </c>
    </row>
    <row r="3" spans="1:7" s="5" customFormat="1" x14ac:dyDescent="0.35">
      <c r="A3" s="5" t="str">
        <f>Cover!D2&amp;" - "&amp;Cover!D8&amp;" v"&amp;Cover!D10&amp;" - "&amp;Cover!D19</f>
        <v>CDCM charging model - Release for charge setting v7 - 2022/23</v>
      </c>
    </row>
    <row r="5" spans="1:7" x14ac:dyDescent="0.35">
      <c r="B5" s="30" t="s">
        <v>10</v>
      </c>
      <c r="C5" s="30"/>
      <c r="D5" s="30"/>
      <c r="E5" s="30"/>
      <c r="F5" s="30"/>
      <c r="G5" s="30"/>
    </row>
    <row r="7" spans="1:7" x14ac:dyDescent="0.35">
      <c r="C7" s="29" t="s">
        <v>108</v>
      </c>
    </row>
    <row r="8" spans="1:7" x14ac:dyDescent="0.35">
      <c r="C8" s="29" t="s">
        <v>109</v>
      </c>
    </row>
    <row r="10" spans="1:7" x14ac:dyDescent="0.35">
      <c r="B10" s="30" t="s">
        <v>110</v>
      </c>
      <c r="C10" s="30"/>
      <c r="D10" s="30"/>
      <c r="E10" s="30"/>
      <c r="F10" s="30"/>
      <c r="G10" s="30"/>
    </row>
    <row r="12" spans="1:7" x14ac:dyDescent="0.35">
      <c r="C12" s="29" t="s">
        <v>111</v>
      </c>
    </row>
    <row r="14" spans="1:7" ht="15" thickBot="1" x14ac:dyDescent="0.4">
      <c r="F14" s="321" t="s">
        <v>112</v>
      </c>
      <c r="G14" s="287" t="s">
        <v>113</v>
      </c>
    </row>
    <row r="15" spans="1:7" ht="15.5" thickTop="1" thickBot="1" x14ac:dyDescent="0.4">
      <c r="F15" s="289" t="s">
        <v>114</v>
      </c>
    </row>
    <row r="16" spans="1:7" ht="15" thickTop="1" x14ac:dyDescent="0.35">
      <c r="F16" s="289" t="s">
        <v>115</v>
      </c>
      <c r="G16" s="58" t="str">
        <f>'Version control'!$B$5</f>
        <v>Model version</v>
      </c>
    </row>
    <row r="17" spans="6:7" x14ac:dyDescent="0.35">
      <c r="F17" s="288" t="s">
        <v>116</v>
      </c>
      <c r="G17" s="58" t="str">
        <f>'Version control'!$B$17</f>
        <v>Version log</v>
      </c>
    </row>
    <row r="18" spans="6:7" x14ac:dyDescent="0.35">
      <c r="F18" s="288" t="s">
        <v>116</v>
      </c>
      <c r="G18" s="58" t="str">
        <f>'Version control'!$B$31</f>
        <v>Model checks</v>
      </c>
    </row>
    <row r="19" spans="6:7" ht="15" thickBot="1" x14ac:dyDescent="0.4">
      <c r="F19" s="288" t="s">
        <v>116</v>
      </c>
      <c r="G19" s="58" t="str">
        <f>'Version control'!$B$60</f>
        <v>Version log lists</v>
      </c>
    </row>
    <row r="20" spans="6:7" ht="15.5" thickTop="1" thickBot="1" x14ac:dyDescent="0.4">
      <c r="F20" s="289" t="s">
        <v>107</v>
      </c>
      <c r="G20" s="58" t="str">
        <f>'Model map'!$B$5</f>
        <v>Model map</v>
      </c>
    </row>
    <row r="21" spans="6:7" ht="15.5" thickTop="1" thickBot="1" x14ac:dyDescent="0.4">
      <c r="F21" s="289" t="s">
        <v>117</v>
      </c>
      <c r="G21" s="58" t="str">
        <f>'Named ranges'!$B$5</f>
        <v>List of named ranges</v>
      </c>
    </row>
    <row r="22" spans="6:7" ht="15.5" thickTop="1" thickBot="1" x14ac:dyDescent="0.4">
      <c r="F22" s="291" t="s">
        <v>53</v>
      </c>
      <c r="G22" s="58" t="str">
        <f>'Fixed inputs'!$B$11</f>
        <v>Fixed inputs</v>
      </c>
    </row>
    <row r="23" spans="6:7" ht="15.5" thickTop="1" thickBot="1" x14ac:dyDescent="0.4">
      <c r="F23" s="291" t="s">
        <v>56</v>
      </c>
      <c r="G23" s="58" t="str">
        <f>'Inputs by customer type'!$B$11</f>
        <v>Inputs by customer type</v>
      </c>
    </row>
    <row r="24" spans="6:7" ht="15.5" thickTop="1" thickBot="1" x14ac:dyDescent="0.4">
      <c r="F24" s="291" t="s">
        <v>58</v>
      </c>
      <c r="G24" s="58" t="str">
        <f>'Inputs by network level'!$B$11</f>
        <v>Inputs by network level</v>
      </c>
    </row>
    <row r="25" spans="6:7" ht="15.5" thickTop="1" thickBot="1" x14ac:dyDescent="0.4">
      <c r="F25" s="291" t="s">
        <v>60</v>
      </c>
      <c r="G25" s="58" t="str">
        <f>'General inputs'!$B$11</f>
        <v>General inputs</v>
      </c>
    </row>
    <row r="26" spans="6:7" ht="15.5" thickTop="1" thickBot="1" x14ac:dyDescent="0.4">
      <c r="F26" s="293" t="s">
        <v>120</v>
      </c>
      <c r="G26" s="58" t="str">
        <f>'Standing charge factors'!$B$17</f>
        <v>Adjustments to standing charges</v>
      </c>
    </row>
    <row r="27" spans="6:7" ht="15" thickTop="1" x14ac:dyDescent="0.35">
      <c r="F27" s="293" t="s">
        <v>64</v>
      </c>
      <c r="G27" s="58" t="str">
        <f>'Load &amp; loss characteristics'!$B$13</f>
        <v>Load and loss characteristics</v>
      </c>
    </row>
    <row r="28" spans="6:7" ht="15" thickBot="1" x14ac:dyDescent="0.4">
      <c r="F28" s="292" t="s">
        <v>116</v>
      </c>
      <c r="G28" s="58" t="str">
        <f>'Load &amp; loss characteristics'!$B$31</f>
        <v>User loss factor adjustments</v>
      </c>
    </row>
    <row r="29" spans="6:7" ht="15.5" thickTop="1" thickBot="1" x14ac:dyDescent="0.4">
      <c r="F29" s="293" t="s">
        <v>66</v>
      </c>
      <c r="G29" s="58" t="str">
        <f>'Customer contributions'!$B$12</f>
        <v>Customer contributions</v>
      </c>
    </row>
    <row r="30" spans="6:7" ht="15" thickTop="1" x14ac:dyDescent="0.35">
      <c r="F30" s="293" t="s">
        <v>68</v>
      </c>
      <c r="G30" s="58" t="str">
        <f>'Volume adjustments'!$B$13</f>
        <v>LDNO discounts</v>
      </c>
    </row>
    <row r="31" spans="6:7" x14ac:dyDescent="0.35">
      <c r="F31" s="292" t="s">
        <v>116</v>
      </c>
      <c r="G31" s="58" t="str">
        <f>'Volume adjustments'!$B$51</f>
        <v>Volume discounting</v>
      </c>
    </row>
    <row r="32" spans="6:7" ht="15" thickBot="1" x14ac:dyDescent="0.4">
      <c r="F32" s="292" t="s">
        <v>116</v>
      </c>
      <c r="G32" s="58" t="str">
        <f>'Volume adjustments'!$B$310</f>
        <v>Volume discounting for revenue matching</v>
      </c>
    </row>
    <row r="33" spans="6:7" ht="15" thickTop="1" x14ac:dyDescent="0.35">
      <c r="F33" s="293" t="s">
        <v>70</v>
      </c>
      <c r="G33" s="58" t="str">
        <f>'Pseudo-load coefficients'!$B$13</f>
        <v>Step 1: Ratio of coincidence to load factor assuming units evenly spread within time bands, and peak falls in Red period</v>
      </c>
    </row>
    <row r="34" spans="6:7" x14ac:dyDescent="0.35">
      <c r="F34" s="292" t="s">
        <v>116</v>
      </c>
      <c r="G34" s="58" t="str">
        <f>'Pseudo-load coefficients'!$B$56</f>
        <v>Step 2: Calculate correction factor</v>
      </c>
    </row>
    <row r="35" spans="6:7" x14ac:dyDescent="0.35">
      <c r="F35" s="292" t="s">
        <v>116</v>
      </c>
      <c r="G35" s="58" t="str">
        <f>'Pseudo-load coefficients'!$B$95</f>
        <v>Step 3: Ratio of coincidence factor (to network asset peak) to load factor, given peaking probabilities, multiplied by correction factor</v>
      </c>
    </row>
    <row r="36" spans="6:7" ht="15" thickBot="1" x14ac:dyDescent="0.4">
      <c r="F36" s="292" t="s">
        <v>116</v>
      </c>
      <c r="G36" s="58" t="str">
        <f>'Pseudo-load coefficients'!$B$261</f>
        <v>Step 4: Results of Step 3</v>
      </c>
    </row>
    <row r="37" spans="6:7" ht="15" thickTop="1" x14ac:dyDescent="0.35">
      <c r="F37" s="293" t="s">
        <v>72</v>
      </c>
      <c r="G37" s="58" t="str">
        <f>'System peak demand'!$B$16</f>
        <v>Common inputs for chargeable load calculations</v>
      </c>
    </row>
    <row r="38" spans="6:7" x14ac:dyDescent="0.35">
      <c r="F38" s="292" t="s">
        <v>116</v>
      </c>
      <c r="G38" s="58" t="str">
        <f>'System peak demand'!$B$63</f>
        <v>Load at system peak charged to unit rates</v>
      </c>
    </row>
    <row r="39" spans="6:7" x14ac:dyDescent="0.35">
      <c r="F39" s="292" t="s">
        <v>116</v>
      </c>
      <c r="G39" s="58" t="str">
        <f>'System peak demand'!$B$179</f>
        <v>Load at system peak charged to standing charges</v>
      </c>
    </row>
    <row r="40" spans="6:7" ht="15" thickBot="1" x14ac:dyDescent="0.4">
      <c r="F40" s="292" t="s">
        <v>116</v>
      </c>
      <c r="G40" s="58" t="str">
        <f>'System peak demand'!$B$262</f>
        <v>System peak based on chargeable load</v>
      </c>
    </row>
    <row r="41" spans="6:7" ht="15.5" thickTop="1" thickBot="1" x14ac:dyDescent="0.4">
      <c r="F41" s="293" t="s">
        <v>74</v>
      </c>
      <c r="G41" s="58" t="str">
        <f>'Service model assets'!$B$12</f>
        <v>Service model notional asset values</v>
      </c>
    </row>
    <row r="42" spans="6:7" ht="15" thickTop="1" x14ac:dyDescent="0.35">
      <c r="F42" s="293" t="s">
        <v>76</v>
      </c>
      <c r="G42" s="58" t="str">
        <f>'Unit costs'!$B$15</f>
        <v>500MW model costs</v>
      </c>
    </row>
    <row r="43" spans="6:7" x14ac:dyDescent="0.35">
      <c r="F43" s="292" t="s">
        <v>116</v>
      </c>
      <c r="G43" s="58" t="str">
        <f>'Unit costs'!$B$58</f>
        <v>Allocation of other costs</v>
      </c>
    </row>
    <row r="44" spans="6:7" ht="15" thickBot="1" x14ac:dyDescent="0.4">
      <c r="F44" s="292" t="s">
        <v>116</v>
      </c>
      <c r="G44" s="58" t="str">
        <f>'Unit costs'!$B$102</f>
        <v>Outputs</v>
      </c>
    </row>
    <row r="45" spans="6:7" ht="15" thickTop="1" x14ac:dyDescent="0.35">
      <c r="F45" s="293" t="s">
        <v>78</v>
      </c>
      <c r="G45" s="58" t="str">
        <f>'Initial unit rates'!$B$11</f>
        <v>Inputs for yardstick and unit rate calculations</v>
      </c>
    </row>
    <row r="46" spans="6:7" ht="15" thickBot="1" x14ac:dyDescent="0.4">
      <c r="F46" s="292" t="s">
        <v>116</v>
      </c>
      <c r="G46" s="58" t="str">
        <f>'Initial unit rates'!$B$116</f>
        <v>Calculation of yardstick &amp; unit rate charges</v>
      </c>
    </row>
    <row r="47" spans="6:7" ht="15" thickTop="1" x14ac:dyDescent="0.35">
      <c r="F47" s="293" t="s">
        <v>80</v>
      </c>
      <c r="G47" s="58" t="str">
        <f>'Service model charges'!$B$13</f>
        <v>Inputs to service model charge calculation</v>
      </c>
    </row>
    <row r="48" spans="6:7" ht="15" thickBot="1" x14ac:dyDescent="0.4">
      <c r="F48" s="292" t="s">
        <v>116</v>
      </c>
      <c r="G48" s="58" t="str">
        <f>'Service model charges'!$B$29</f>
        <v>Allocation of service model costs</v>
      </c>
    </row>
    <row r="49" spans="6:7" ht="15" thickTop="1" x14ac:dyDescent="0.35">
      <c r="F49" s="293" t="s">
        <v>82</v>
      </c>
      <c r="G49" s="58" t="str">
        <f>'Unit rate charges'!$B$15</f>
        <v>Inputs to unit rate charge calculations</v>
      </c>
    </row>
    <row r="50" spans="6:7" ht="15" thickBot="1" x14ac:dyDescent="0.4">
      <c r="F50" s="292" t="s">
        <v>116</v>
      </c>
      <c r="G50" s="58" t="str">
        <f>'Unit rate charges'!$B$122</f>
        <v>Application of standing charges to unit rates</v>
      </c>
    </row>
    <row r="51" spans="6:7" ht="15" thickTop="1" x14ac:dyDescent="0.35">
      <c r="F51" s="293" t="s">
        <v>86</v>
      </c>
      <c r="G51" s="58" t="str">
        <f>'Capacity charges'!$B$17</f>
        <v>Inputs to capacity charge calculations</v>
      </c>
    </row>
    <row r="52" spans="6:7" x14ac:dyDescent="0.35">
      <c r="F52" s="292" t="s">
        <v>116</v>
      </c>
      <c r="G52" s="58" t="str">
        <f>'Capacity charges'!$B$125</f>
        <v>Calculation of capacity charges</v>
      </c>
    </row>
    <row r="53" spans="6:7" ht="15" thickBot="1" x14ac:dyDescent="0.4">
      <c r="F53" s="292" t="s">
        <v>116</v>
      </c>
      <c r="G53" s="58" t="str">
        <f>'Capacity charges'!$B$249</f>
        <v>Capacity charges (and elements allocated to fixed charges)</v>
      </c>
    </row>
    <row r="54" spans="6:7" ht="15" thickTop="1" x14ac:dyDescent="0.35">
      <c r="F54" s="293" t="s">
        <v>84</v>
      </c>
      <c r="G54" s="58" t="str">
        <f>'Reactive power charges'!$B$13</f>
        <v>Inputs to reactive power charge calculations</v>
      </c>
    </row>
    <row r="55" spans="6:7" x14ac:dyDescent="0.35">
      <c r="F55" s="292" t="s">
        <v>116</v>
      </c>
      <c r="G55" s="58" t="str">
        <f>'Reactive power charges'!$B$150</f>
        <v>Calculation of yardstick charges for generation</v>
      </c>
    </row>
    <row r="56" spans="6:7" ht="15" thickBot="1" x14ac:dyDescent="0.4">
      <c r="F56" s="292" t="s">
        <v>116</v>
      </c>
      <c r="G56" s="58" t="str">
        <f>'Reactive power charges'!$B$185</f>
        <v>Calculation of reactive power charges</v>
      </c>
    </row>
    <row r="57" spans="6:7" ht="15" thickTop="1" x14ac:dyDescent="0.35">
      <c r="F57" s="293" t="s">
        <v>88</v>
      </c>
      <c r="G57" s="58" t="str">
        <f>'Fixed charges'!$B$14</f>
        <v>Inputs to fixed charge calculations</v>
      </c>
    </row>
    <row r="58" spans="6:7" ht="15" thickBot="1" x14ac:dyDescent="0.4">
      <c r="F58" s="292" t="s">
        <v>116</v>
      </c>
      <c r="G58" s="58" t="str">
        <f>'Fixed charges'!$B$65</f>
        <v>Calculation of fixed charges</v>
      </c>
    </row>
    <row r="59" spans="6:7" ht="15.5" thickTop="1" thickBot="1" x14ac:dyDescent="0.4">
      <c r="F59" s="293" t="s">
        <v>1157</v>
      </c>
      <c r="G59" s="58" t="str">
        <f>'SoLR &amp; bad debt adders'!$B$12</f>
        <v>Fixed tariff adjustments</v>
      </c>
    </row>
    <row r="60" spans="6:7" ht="15" thickTop="1" x14ac:dyDescent="0.35">
      <c r="F60" s="293" t="s">
        <v>90</v>
      </c>
      <c r="G60" s="58" t="str">
        <f>'Revenue matching'!$B$13</f>
        <v>Pre-matching net revenue calculations</v>
      </c>
    </row>
    <row r="61" spans="6:7" x14ac:dyDescent="0.35">
      <c r="F61" s="292" t="s">
        <v>116</v>
      </c>
      <c r="G61" s="58" t="str">
        <f>'Revenue matching'!$B$86</f>
        <v>Residual charge calculation</v>
      </c>
    </row>
    <row r="62" spans="6:7" x14ac:dyDescent="0.35">
      <c r="F62" s="292" t="s">
        <v>116</v>
      </c>
      <c r="G62" s="58" t="str">
        <f>'Revenue matching'!$B$209</f>
        <v>Adjustments for negative fixed charges</v>
      </c>
    </row>
    <row r="63" spans="6:7" ht="15" thickBot="1" x14ac:dyDescent="0.4">
      <c r="F63" s="292" t="s">
        <v>116</v>
      </c>
      <c r="G63" s="58" t="str">
        <f>'Revenue matching'!$B$407</f>
        <v>Final adders</v>
      </c>
    </row>
    <row r="64" spans="6:7" ht="15" thickTop="1" x14ac:dyDescent="0.35">
      <c r="F64" s="293" t="s">
        <v>92</v>
      </c>
      <c r="G64" s="58" t="str">
        <f>Rounding!$B$12</f>
        <v>Inputs</v>
      </c>
    </row>
    <row r="65" spans="2:7" ht="15" thickBot="1" x14ac:dyDescent="0.4">
      <c r="F65" s="292" t="s">
        <v>116</v>
      </c>
      <c r="G65" s="58" t="str">
        <f>Rounding!$B$103</f>
        <v>Rounding of tariff forecast</v>
      </c>
    </row>
    <row r="66" spans="2:7" ht="15" thickTop="1" x14ac:dyDescent="0.35">
      <c r="F66" s="293" t="s">
        <v>94</v>
      </c>
      <c r="G66" s="58" t="str">
        <f>'Net revenue summary'!$B$11</f>
        <v>Inputs to net revenue summary calculation</v>
      </c>
    </row>
    <row r="67" spans="2:7" x14ac:dyDescent="0.35">
      <c r="F67" s="292" t="s">
        <v>116</v>
      </c>
      <c r="G67" s="58" t="str">
        <f>'Net revenue summary'!$B$90</f>
        <v>Typical bills</v>
      </c>
    </row>
    <row r="68" spans="2:7" x14ac:dyDescent="0.35">
      <c r="F68" s="292" t="s">
        <v>116</v>
      </c>
      <c r="G68" s="58" t="str">
        <f>'Net revenue summary'!$B$150</f>
        <v>Comparison with previous year</v>
      </c>
    </row>
    <row r="69" spans="2:7" ht="15" thickBot="1" x14ac:dyDescent="0.4">
      <c r="F69" s="292" t="s">
        <v>116</v>
      </c>
      <c r="G69" s="58" t="str">
        <f>'Net revenue summary'!$B$176</f>
        <v>LDNO margins</v>
      </c>
    </row>
    <row r="70" spans="2:7" ht="15.5" thickTop="1" thickBot="1" x14ac:dyDescent="0.4">
      <c r="F70" s="295" t="s">
        <v>96</v>
      </c>
      <c r="G70" s="58" t="str">
        <f>'Tariff summary'!$B$11</f>
        <v>Tariff summary</v>
      </c>
    </row>
    <row r="71" spans="2:7" ht="15" thickTop="1" x14ac:dyDescent="0.35">
      <c r="F71" s="295" t="s">
        <v>98</v>
      </c>
      <c r="G71" s="58" t="str">
        <f>'Output to other models'!$B$12</f>
        <v>Outputs for PCDM</v>
      </c>
    </row>
    <row r="72" spans="2:7" x14ac:dyDescent="0.35">
      <c r="F72" s="294" t="s">
        <v>116</v>
      </c>
      <c r="G72" s="58" t="str">
        <f>'Output to other models'!$B$25</f>
        <v>Outputs for EDCM</v>
      </c>
    </row>
    <row r="73" spans="2:7" x14ac:dyDescent="0.35">
      <c r="F73" s="294" t="s">
        <v>116</v>
      </c>
      <c r="G73" s="58" t="str">
        <f>'Output to other models'!$B$55</f>
        <v>Outputs for users' internal use</v>
      </c>
    </row>
    <row r="75" spans="2:7" x14ac:dyDescent="0.35">
      <c r="B75" s="30" t="s">
        <v>118</v>
      </c>
      <c r="C75" s="30"/>
      <c r="D75" s="30"/>
      <c r="E75" s="30"/>
      <c r="F75" s="30"/>
      <c r="G75" s="30"/>
    </row>
    <row r="77" spans="2:7" x14ac:dyDescent="0.35">
      <c r="C77" s="29" t="s">
        <v>119</v>
      </c>
    </row>
    <row r="79" spans="2:7" ht="15" thickBot="1" x14ac:dyDescent="0.4">
      <c r="F79" s="321" t="s">
        <v>112</v>
      </c>
      <c r="G79" s="287" t="s">
        <v>113</v>
      </c>
    </row>
    <row r="80" spans="2:7" ht="15" thickTop="1" x14ac:dyDescent="0.35">
      <c r="F80" s="291" t="s">
        <v>53</v>
      </c>
      <c r="G80" s="58" t="str">
        <f ca="1">'Fixed inputs'!$C$13</f>
        <v>Input 101-A: Conversions and time</v>
      </c>
    </row>
    <row r="81" spans="6:7" x14ac:dyDescent="0.35">
      <c r="F81" s="290" t="s">
        <v>116</v>
      </c>
      <c r="G81" s="58" t="str">
        <f ca="1">'Fixed inputs'!$C$20</f>
        <v>Input 101-B: Input 101-B: Rounding</v>
      </c>
    </row>
    <row r="82" spans="6:7" x14ac:dyDescent="0.35">
      <c r="F82" s="290" t="s">
        <v>116</v>
      </c>
      <c r="G82" s="58" t="str">
        <f ca="1">'Fixed inputs'!$C$33</f>
        <v>Input 101-C: Financial and general assumptions</v>
      </c>
    </row>
    <row r="83" spans="6:7" x14ac:dyDescent="0.35">
      <c r="F83" s="290" t="s">
        <v>116</v>
      </c>
      <c r="G83" s="58" t="str">
        <f ca="1">'Fixed inputs'!$C$43</f>
        <v>Input 101-D: Mappings</v>
      </c>
    </row>
    <row r="84" spans="6:7" x14ac:dyDescent="0.35">
      <c r="F84" s="290" t="s">
        <v>116</v>
      </c>
      <c r="G84" s="58" t="str">
        <f ca="1">'Fixed inputs'!$C$84</f>
        <v>Input 101-E: Standing charge factors</v>
      </c>
    </row>
    <row r="85" spans="6:7" x14ac:dyDescent="0.35">
      <c r="F85" s="290" t="s">
        <v>116</v>
      </c>
      <c r="G85" s="58" t="str">
        <f ca="1">'Fixed inputs'!$C$99</f>
        <v>Input 101-F: Flags</v>
      </c>
    </row>
    <row r="86" spans="6:7" x14ac:dyDescent="0.35">
      <c r="F86" s="290" t="s">
        <v>116</v>
      </c>
      <c r="G86" s="58" t="str">
        <f ca="1">'Fixed inputs'!$C$141</f>
        <v>Input 101-G: Identifiers for customer groupings</v>
      </c>
    </row>
    <row r="87" spans="6:7" x14ac:dyDescent="0.35">
      <c r="F87" s="290" t="s">
        <v>116</v>
      </c>
      <c r="G87" s="58" t="str">
        <f ca="1">'Fixed inputs'!$C$151</f>
        <v>Input 101-H: Decimal places for error checks</v>
      </c>
    </row>
    <row r="88" spans="6:7" x14ac:dyDescent="0.35">
      <c r="F88" s="290" t="s">
        <v>116</v>
      </c>
      <c r="G88" s="58" t="str">
        <f ca="1">'Fixed inputs'!$C$155</f>
        <v>Input 101-I: Map of applicable MPANs</v>
      </c>
    </row>
    <row r="89" spans="6:7" ht="15" thickBot="1" x14ac:dyDescent="0.4">
      <c r="F89" s="290" t="s">
        <v>116</v>
      </c>
      <c r="G89" s="58" t="str">
        <f ca="1">'Fixed inputs'!$C$161</f>
        <v>Input 101-J: Revenue matching inputs</v>
      </c>
    </row>
    <row r="90" spans="6:7" ht="15" thickTop="1" x14ac:dyDescent="0.35">
      <c r="F90" s="291" t="s">
        <v>56</v>
      </c>
      <c r="G90" s="58" t="str">
        <f ca="1">'Inputs by customer type'!$C$13</f>
        <v>Input 102-A: Load characteristics</v>
      </c>
    </row>
    <row r="91" spans="6:7" x14ac:dyDescent="0.35">
      <c r="F91" s="290" t="s">
        <v>116</v>
      </c>
      <c r="G91" s="58" t="str">
        <f ca="1">'Inputs by customer type'!$C$18</f>
        <v>Input 102-B: Volume forecasts for the charging year</v>
      </c>
    </row>
    <row r="92" spans="6:7" x14ac:dyDescent="0.35">
      <c r="F92" s="290" t="s">
        <v>116</v>
      </c>
      <c r="G92" s="58" t="str">
        <f ca="1">'Inputs by customer type'!$C$163</f>
        <v>Input 102-C: Non-Domestic Aggregated (Related MPAN) distribution by bands</v>
      </c>
    </row>
    <row r="93" spans="6:7" x14ac:dyDescent="0.35">
      <c r="F93" s="290" t="s">
        <v>116</v>
      </c>
      <c r="G93" s="58" t="str">
        <f ca="1">'Inputs by customer type'!$C$183</f>
        <v>Input 102-D: Service model asset values</v>
      </c>
    </row>
    <row r="94" spans="6:7" x14ac:dyDescent="0.35">
      <c r="F94" s="290" t="s">
        <v>116</v>
      </c>
      <c r="G94" s="58" t="str">
        <f ca="1">'Inputs by customer type'!$C$192</f>
        <v>Input 102-E: Previous year all-the-way tariff forecast</v>
      </c>
    </row>
    <row r="95" spans="6:7" ht="15" thickBot="1" x14ac:dyDescent="0.4">
      <c r="F95" s="290" t="s">
        <v>116</v>
      </c>
      <c r="G95" s="58" t="str">
        <f ca="1">'Inputs by customer type'!$C$206</f>
        <v>Input 102-F: Previous year net revenue (if known)</v>
      </c>
    </row>
    <row r="96" spans="6:7" ht="15" thickTop="1" x14ac:dyDescent="0.35">
      <c r="F96" s="291" t="s">
        <v>58</v>
      </c>
      <c r="G96" s="58" t="str">
        <f ca="1">'Inputs by network level'!$C$13</f>
        <v>Input 103-A: Network and load inputs</v>
      </c>
    </row>
    <row r="97" spans="6:7" x14ac:dyDescent="0.35">
      <c r="F97" s="290" t="s">
        <v>116</v>
      </c>
      <c r="G97" s="58" t="str">
        <f ca="1">'Inputs by network level'!$C$23</f>
        <v>Input 103-B: Customer contributions under current connection charging policy</v>
      </c>
    </row>
    <row r="98" spans="6:7" x14ac:dyDescent="0.35">
      <c r="F98" s="290" t="s">
        <v>116</v>
      </c>
      <c r="G98" s="58" t="str">
        <f ca="1">'Inputs by network level'!$C$31</f>
        <v>Input 103-C: DRM asset costs</v>
      </c>
    </row>
    <row r="99" spans="6:7" ht="15" thickBot="1" x14ac:dyDescent="0.4">
      <c r="F99" s="290" t="s">
        <v>116</v>
      </c>
      <c r="G99" s="58" t="str">
        <f ca="1">'Inputs by network level'!$C$35</f>
        <v>Input 103-D: Peaking probabilities by network level</v>
      </c>
    </row>
    <row r="100" spans="6:7" ht="15" thickTop="1" x14ac:dyDescent="0.35">
      <c r="F100" s="291" t="s">
        <v>60</v>
      </c>
      <c r="G100" s="58" t="str">
        <f ca="1">'General inputs'!$C$13</f>
        <v>Input 104-A: Inputs by distribution timeband</v>
      </c>
    </row>
    <row r="101" spans="6:7" x14ac:dyDescent="0.35">
      <c r="F101" s="290" t="s">
        <v>116</v>
      </c>
      <c r="G101" s="58" t="str">
        <f ca="1">'General inputs'!$C$25</f>
        <v>Input 104-B: LDNO discount inputs</v>
      </c>
    </row>
    <row r="102" spans="6:7" x14ac:dyDescent="0.35">
      <c r="F102" s="290" t="s">
        <v>116</v>
      </c>
      <c r="G102" s="58" t="str">
        <f ca="1">'General inputs'!$C$35</f>
        <v>Input 104-C: CDCM target revenue</v>
      </c>
    </row>
    <row r="103" spans="6:7" x14ac:dyDescent="0.35">
      <c r="F103" s="290" t="s">
        <v>116</v>
      </c>
      <c r="G103" s="58" t="str">
        <f ca="1">'General inputs'!$C$89</f>
        <v>Input 104-D: Financial and general assumptions</v>
      </c>
    </row>
    <row r="104" spans="6:7" x14ac:dyDescent="0.35">
      <c r="F104" s="290" t="s">
        <v>116</v>
      </c>
      <c r="G104" s="58" t="str">
        <f ca="1">'General inputs'!$C$95</f>
        <v>Input 104-E: Transmission exit charges</v>
      </c>
    </row>
    <row r="105" spans="6:7" ht="15" thickBot="1" x14ac:dyDescent="0.4">
      <c r="F105" s="290" t="s">
        <v>116</v>
      </c>
      <c r="G105" s="58" t="str">
        <f ca="1">'General inputs'!$C$99</f>
        <v>Input 104-F: Other expenditure</v>
      </c>
    </row>
    <row r="106" spans="6:7" ht="15.5" thickTop="1" thickBot="1" x14ac:dyDescent="0.4">
      <c r="F106" s="293" t="s">
        <v>120</v>
      </c>
      <c r="G106" s="58" t="str">
        <f ca="1">'Standing charge factors'!$C$19</f>
        <v>Section 101-A: Adjustments to standing charges</v>
      </c>
    </row>
    <row r="107" spans="6:7" ht="15" thickTop="1" x14ac:dyDescent="0.35">
      <c r="F107" s="293" t="s">
        <v>64</v>
      </c>
      <c r="G107" s="58" t="str">
        <f ca="1">'Load &amp; loss characteristics'!$C$17</f>
        <v>Section 102-A: Load characteristics</v>
      </c>
    </row>
    <row r="108" spans="6:7" x14ac:dyDescent="0.35">
      <c r="F108" s="292" t="s">
        <v>116</v>
      </c>
      <c r="G108" s="58" t="str">
        <f ca="1">'Load &amp; loss characteristics'!$C$25</f>
        <v>Section 102-B: Loss adjustment factors</v>
      </c>
    </row>
    <row r="109" spans="6:7" x14ac:dyDescent="0.35">
      <c r="F109" s="292" t="s">
        <v>116</v>
      </c>
      <c r="G109" s="58" t="str">
        <f ca="1">'Load &amp; loss characteristics'!$C$35</f>
        <v>Section 102-C: Proportion of relevant load going through 132kV/HV direct transformation</v>
      </c>
    </row>
    <row r="110" spans="6:7" x14ac:dyDescent="0.35">
      <c r="F110" s="292" t="s">
        <v>116</v>
      </c>
      <c r="G110" s="58" t="str">
        <f ca="1">'Load &amp; loss characteristics'!$C$40</f>
        <v>Section 102-D: Network use factors</v>
      </c>
    </row>
    <row r="111" spans="6:7" ht="15" thickBot="1" x14ac:dyDescent="0.4">
      <c r="F111" s="292" t="s">
        <v>116</v>
      </c>
      <c r="G111" s="58" t="str">
        <f ca="1">'Load &amp; loss characteristics'!$C$121</f>
        <v>Section 102-E: User loss factors</v>
      </c>
    </row>
    <row r="112" spans="6:7" ht="15" thickTop="1" x14ac:dyDescent="0.35">
      <c r="F112" s="293" t="s">
        <v>66</v>
      </c>
      <c r="G112" s="58" t="str">
        <f ca="1">'Customer contributions'!$C$16</f>
        <v>Section 103-A: Network use factors</v>
      </c>
    </row>
    <row r="113" spans="6:7" ht="15" thickBot="1" x14ac:dyDescent="0.4">
      <c r="F113" s="292" t="s">
        <v>116</v>
      </c>
      <c r="G113" s="58" t="str">
        <f ca="1">'Customer contributions'!$C$38</f>
        <v>Section 103-B: Customer contributions</v>
      </c>
    </row>
    <row r="114" spans="6:7" ht="15" thickTop="1" x14ac:dyDescent="0.35">
      <c r="F114" s="293" t="s">
        <v>68</v>
      </c>
      <c r="G114" s="58" t="str">
        <f ca="1">'Volume adjustments'!$C$15</f>
        <v>Section 104-A: LDNO discounts</v>
      </c>
    </row>
    <row r="115" spans="6:7" x14ac:dyDescent="0.35">
      <c r="F115" s="292" t="s">
        <v>116</v>
      </c>
      <c r="G115" s="58" t="str">
        <f ca="1">'Volume adjustments'!$C$53</f>
        <v>Section 104-B: Aggregation of volumes</v>
      </c>
    </row>
    <row r="116" spans="6:7" x14ac:dyDescent="0.35">
      <c r="F116" s="292" t="s">
        <v>116</v>
      </c>
      <c r="G116" s="58" t="str">
        <f ca="1">'Volume adjustments'!$C$225</f>
        <v>Section 104-C: Volume discounting</v>
      </c>
    </row>
    <row r="117" spans="6:7" x14ac:dyDescent="0.35">
      <c r="F117" s="292" t="s">
        <v>116</v>
      </c>
      <c r="G117" s="58" t="str">
        <f ca="1">'Volume adjustments'!$C$332</f>
        <v>Section 104-D: No residual volume discounting</v>
      </c>
    </row>
    <row r="118" spans="6:7" x14ac:dyDescent="0.35">
      <c r="F118" s="292" t="s">
        <v>116</v>
      </c>
      <c r="G118" s="58" t="str">
        <f ca="1">'Volume adjustments'!$C$361</f>
        <v>Section 104-E: Residual band 1 volume discounting</v>
      </c>
    </row>
    <row r="119" spans="6:7" x14ac:dyDescent="0.35">
      <c r="F119" s="292" t="s">
        <v>116</v>
      </c>
      <c r="G119" s="58" t="str">
        <f ca="1">'Volume adjustments'!$C$390</f>
        <v>Section 104-F: Residual band 2 volume discounting</v>
      </c>
    </row>
    <row r="120" spans="6:7" x14ac:dyDescent="0.35">
      <c r="F120" s="292" t="s">
        <v>116</v>
      </c>
      <c r="G120" s="58" t="str">
        <f ca="1">'Volume adjustments'!$C$419</f>
        <v>Section 104-G: Residual band 3 volume discounting</v>
      </c>
    </row>
    <row r="121" spans="6:7" x14ac:dyDescent="0.35">
      <c r="F121" s="292" t="s">
        <v>116</v>
      </c>
      <c r="G121" s="58" t="str">
        <f ca="1">'Volume adjustments'!$C$448</f>
        <v>Section 104-H: Residual band 4 volume discounting</v>
      </c>
    </row>
    <row r="122" spans="6:7" x14ac:dyDescent="0.35">
      <c r="F122" s="292" t="s">
        <v>116</v>
      </c>
      <c r="G122" s="58" t="str">
        <f ca="1">'Volume adjustments'!$C$477</f>
        <v>Section 104-I: Discounted volumes by residual band</v>
      </c>
    </row>
    <row r="123" spans="6:7" x14ac:dyDescent="0.35">
      <c r="F123" s="292" t="s">
        <v>116</v>
      </c>
      <c r="G123" s="58" t="str">
        <f ca="1">'Volume adjustments'!$C$523</f>
        <v>Section 104-J: Volumes by residual band</v>
      </c>
    </row>
    <row r="124" spans="6:7" ht="15" thickBot="1" x14ac:dyDescent="0.4">
      <c r="F124" s="292" t="s">
        <v>116</v>
      </c>
      <c r="G124" s="58" t="str">
        <f ca="1">'Volume adjustments'!$C$657</f>
        <v>Section 104-K: Non-domestic aggregated (related MPAN) distribution across bands</v>
      </c>
    </row>
    <row r="125" spans="6:7" ht="15" thickTop="1" x14ac:dyDescent="0.35">
      <c r="F125" s="293" t="s">
        <v>70</v>
      </c>
      <c r="G125" s="58" t="str">
        <f ca="1">'Pseudo-load coefficients'!$C$18</f>
        <v>Section 105-A: Flags and hours in timebands</v>
      </c>
    </row>
    <row r="126" spans="6:7" x14ac:dyDescent="0.35">
      <c r="F126" s="292" t="s">
        <v>116</v>
      </c>
      <c r="G126" s="58" t="str">
        <f ca="1">'Pseudo-load coefficients'!$C$28</f>
        <v>Section 105-B: Average load by timeband</v>
      </c>
    </row>
    <row r="127" spans="6:7" x14ac:dyDescent="0.35">
      <c r="F127" s="292" t="s">
        <v>116</v>
      </c>
      <c r="G127" s="58" t="str">
        <f ca="1">'Pseudo-load coefficients'!$C$36</f>
        <v>Section 105-C: Aggregated groups for pseudo-load coefficients</v>
      </c>
    </row>
    <row r="128" spans="6:7" x14ac:dyDescent="0.35">
      <c r="F128" s="292" t="s">
        <v>116</v>
      </c>
      <c r="G128" s="58" t="str">
        <f ca="1">'Pseudo-load coefficients'!$C$52</f>
        <v>Section 105-D: Ratio of coincidence to load factor assuming units evenly spread within time bands, and peak falls in Red period</v>
      </c>
    </row>
    <row r="129" spans="6:7" x14ac:dyDescent="0.35">
      <c r="F129" s="292" t="s">
        <v>116</v>
      </c>
      <c r="G129" s="58" t="str">
        <f ca="1">'Pseudo-load coefficients'!$C$60</f>
        <v>Section 105-E: Load characteristics for all customers</v>
      </c>
    </row>
    <row r="130" spans="6:7" x14ac:dyDescent="0.35">
      <c r="F130" s="292" t="s">
        <v>116</v>
      </c>
      <c r="G130" s="58" t="str">
        <f ca="1">'Pseudo-load coefficients'!$C$65</f>
        <v>Section 105-F: Aggregated load characteristics for grouped customers</v>
      </c>
    </row>
    <row r="131" spans="6:7" x14ac:dyDescent="0.35">
      <c r="F131" s="292" t="s">
        <v>116</v>
      </c>
      <c r="G131" s="58" t="str">
        <f ca="1">'Pseudo-load coefficients'!$C$87</f>
        <v>Section 105-G: Calculation of correction factor</v>
      </c>
    </row>
    <row r="132" spans="6:7" x14ac:dyDescent="0.35">
      <c r="F132" s="292" t="s">
        <v>116</v>
      </c>
      <c r="G132" s="58" t="str">
        <f ca="1">'Pseudo-load coefficients'!$C$100</f>
        <v>Section 105-H: Peaking probabilities, by network level</v>
      </c>
    </row>
    <row r="133" spans="6:7" x14ac:dyDescent="0.35">
      <c r="F133" s="292" t="s">
        <v>116</v>
      </c>
      <c r="G133" s="58" t="str">
        <f ca="1">'Pseudo-load coefficients'!$C$174</f>
        <v>Section 105-I: Peaking probabilities, by network level and customer type</v>
      </c>
    </row>
    <row r="134" spans="6:7" x14ac:dyDescent="0.35">
      <c r="F134" s="292" t="s">
        <v>116</v>
      </c>
      <c r="G134" s="58" t="str">
        <f ca="1">'Pseudo-load coefficients'!$C$221</f>
        <v>Section 105-J: Ratio of coincidence factor to load factor, based on uniform distribution in timebands and peaking probabilities</v>
      </c>
    </row>
    <row r="135" spans="6:7" x14ac:dyDescent="0.35">
      <c r="F135" s="292" t="s">
        <v>116</v>
      </c>
      <c r="G135" s="58" t="str">
        <f ca="1">'Pseudo-load coefficients'!$C$265</f>
        <v>Section 105-K: Load coefficient</v>
      </c>
    </row>
    <row r="136" spans="6:7" ht="15" thickBot="1" x14ac:dyDescent="0.4">
      <c r="F136" s="292" t="s">
        <v>116</v>
      </c>
      <c r="G136" s="58" t="str">
        <f ca="1">'Pseudo-load coefficients'!$C$269</f>
        <v>Section 105-L: Pseudo load coefficients, by unit rate</v>
      </c>
    </row>
    <row r="137" spans="6:7" ht="15" thickTop="1" x14ac:dyDescent="0.35">
      <c r="F137" s="293" t="s">
        <v>72</v>
      </c>
      <c r="G137" s="58" t="str">
        <f ca="1">'System peak demand'!$C$18</f>
        <v>Section 106-A: Common inputs for chargeable load calculations</v>
      </c>
    </row>
    <row r="138" spans="6:7" x14ac:dyDescent="0.35">
      <c r="F138" s="292" t="s">
        <v>116</v>
      </c>
      <c r="G138" s="58" t="str">
        <f ca="1">'System peak demand'!$C$67</f>
        <v>Section 106-B: System peak load, by unit rate</v>
      </c>
    </row>
    <row r="139" spans="6:7" x14ac:dyDescent="0.35">
      <c r="F139" s="292" t="s">
        <v>116</v>
      </c>
      <c r="G139" s="58" t="str">
        <f ca="1">'System peak demand'!$C$138</f>
        <v>Section 106-C: System peak load, all unit rates</v>
      </c>
    </row>
    <row r="140" spans="6:7" x14ac:dyDescent="0.35">
      <c r="F140" s="292" t="s">
        <v>116</v>
      </c>
      <c r="G140" s="58" t="str">
        <f ca="1">'System peak demand'!$C$164</f>
        <v>Section 106-D: Unit rate contributions to chargeable peak load</v>
      </c>
    </row>
    <row r="141" spans="6:7" x14ac:dyDescent="0.35">
      <c r="F141" s="292" t="s">
        <v>116</v>
      </c>
      <c r="G141" s="58" t="str">
        <f ca="1">'System peak demand'!$C$184</f>
        <v>Section 106-E: Adjustment of import and exceeded capacity</v>
      </c>
    </row>
    <row r="142" spans="6:7" x14ac:dyDescent="0.35">
      <c r="F142" s="292" t="s">
        <v>116</v>
      </c>
      <c r="G142" s="58" t="str">
        <f ca="1">'System peak demand'!$C$194</f>
        <v>Section 106-F: Calculation of LV circuit diversity factor</v>
      </c>
    </row>
    <row r="143" spans="6:7" x14ac:dyDescent="0.35">
      <c r="F143" s="292" t="s">
        <v>116</v>
      </c>
      <c r="G143" s="58" t="str">
        <f ca="1">'System peak demand'!$C$236</f>
        <v>Section 106-G: Import/exceeded capacity contribution to system peak</v>
      </c>
    </row>
    <row r="144" spans="6:7" x14ac:dyDescent="0.35">
      <c r="F144" s="292" t="s">
        <v>116</v>
      </c>
      <c r="G144" s="58" t="str">
        <f ca="1">'System peak demand'!$C$249</f>
        <v>Section 106-H: Estimated capacity contribution to system peak</v>
      </c>
    </row>
    <row r="145" spans="6:7" ht="15" thickBot="1" x14ac:dyDescent="0.4">
      <c r="F145" s="292" t="s">
        <v>116</v>
      </c>
      <c r="G145" s="58" t="str">
        <f ca="1">'System peak demand'!$C$266</f>
        <v>Section 106-I: System peak based on chargeable load</v>
      </c>
    </row>
    <row r="146" spans="6:7" ht="15.5" thickTop="1" thickBot="1" x14ac:dyDescent="0.4">
      <c r="F146" s="293" t="s">
        <v>74</v>
      </c>
      <c r="G146" s="58" t="str">
        <f ca="1">'Service model assets'!$C$14</f>
        <v>Section 107-A: Service model notional asset values</v>
      </c>
    </row>
    <row r="147" spans="6:7" ht="15" thickTop="1" x14ac:dyDescent="0.35">
      <c r="F147" s="293" t="s">
        <v>76</v>
      </c>
      <c r="G147" s="58" t="str">
        <f ca="1">'Unit costs'!$C$19</f>
        <v>Section 108-A: Financial data</v>
      </c>
    </row>
    <row r="148" spans="6:7" x14ac:dyDescent="0.35">
      <c r="F148" s="292" t="s">
        <v>116</v>
      </c>
      <c r="G148" s="58" t="str">
        <f ca="1">'Unit costs'!$C$27</f>
        <v>Section 108-B: Diversity and loss adjustment factors</v>
      </c>
    </row>
    <row r="149" spans="6:7" x14ac:dyDescent="0.35">
      <c r="F149" s="292" t="s">
        <v>116</v>
      </c>
      <c r="G149" s="58" t="str">
        <f ca="1">'Unit costs'!$C$35</f>
        <v>Section 108-C: Maximum demand</v>
      </c>
    </row>
    <row r="150" spans="6:7" x14ac:dyDescent="0.35">
      <c r="F150" s="292" t="s">
        <v>116</v>
      </c>
      <c r="G150" s="58" t="str">
        <f ca="1">'Unit costs'!$C$42</f>
        <v>Section 108-D: Rerouting matrix</v>
      </c>
    </row>
    <row r="151" spans="6:7" x14ac:dyDescent="0.35">
      <c r="F151" s="292" t="s">
        <v>116</v>
      </c>
      <c r="G151" s="58" t="str">
        <f ca="1">'Unit costs'!$C$50</f>
        <v>Section 108-E: Annuitised cost of assets</v>
      </c>
    </row>
    <row r="152" spans="6:7" x14ac:dyDescent="0.35">
      <c r="F152" s="292" t="s">
        <v>116</v>
      </c>
      <c r="G152" s="58" t="str">
        <f ca="1">'Unit costs'!$C$62</f>
        <v>Section 108-F: System simultaneous peak load based on charegable units</v>
      </c>
    </row>
    <row r="153" spans="6:7" x14ac:dyDescent="0.35">
      <c r="F153" s="292" t="s">
        <v>116</v>
      </c>
      <c r="G153" s="58" t="str">
        <f ca="1">'Unit costs'!$C$69</f>
        <v>Section 108-G: Notional asset values, by network level</v>
      </c>
    </row>
    <row r="154" spans="6:7" x14ac:dyDescent="0.35">
      <c r="F154" s="292" t="s">
        <v>116</v>
      </c>
      <c r="G154" s="58" t="str">
        <f ca="1">'Unit costs'!$C$80</f>
        <v>Section 108-H: Other operating costs</v>
      </c>
    </row>
    <row r="155" spans="6:7" x14ac:dyDescent="0.35">
      <c r="F155" s="292" t="s">
        <v>116</v>
      </c>
      <c r="G155" s="58" t="str">
        <f ca="1">'Unit costs'!$C$92</f>
        <v>Section 108-I: Other operating costs by network level</v>
      </c>
    </row>
    <row r="156" spans="6:7" x14ac:dyDescent="0.35">
      <c r="F156" s="292" t="s">
        <v>116</v>
      </c>
      <c r="G156" s="58" t="str">
        <f ca="1">'Unit costs'!$C$104</f>
        <v>Section 108-J: Notional asset values by network level</v>
      </c>
    </row>
    <row r="157" spans="6:7" x14ac:dyDescent="0.35">
      <c r="F157" s="292" t="s">
        <v>116</v>
      </c>
      <c r="G157" s="58" t="str">
        <f ca="1">'Unit costs'!$C$110</f>
        <v>Section 108-K: Unit costs</v>
      </c>
    </row>
    <row r="158" spans="6:7" ht="15" thickBot="1" x14ac:dyDescent="0.4">
      <c r="F158" s="292" t="s">
        <v>116</v>
      </c>
      <c r="G158" s="58" t="str">
        <f ca="1">'Unit costs'!$C$117</f>
        <v>Section 108-L: Values used for allocating costs to service models</v>
      </c>
    </row>
    <row r="159" spans="6:7" ht="15" thickTop="1" x14ac:dyDescent="0.35">
      <c r="F159" s="293" t="s">
        <v>78</v>
      </c>
      <c r="G159" s="58" t="str">
        <f ca="1">'Initial unit rates'!$C$13</f>
        <v>Section 109-A: Inputs for yardstick and unit rate calculations</v>
      </c>
    </row>
    <row r="160" spans="6:7" x14ac:dyDescent="0.35">
      <c r="F160" s="292" t="s">
        <v>116</v>
      </c>
      <c r="G160" s="58" t="str">
        <f ca="1">'Initial unit rates'!$C$118</f>
        <v>Section 109-B: Yardstick charges</v>
      </c>
    </row>
    <row r="161" spans="6:7" x14ac:dyDescent="0.35">
      <c r="F161" s="292" t="s">
        <v>116</v>
      </c>
      <c r="G161" s="58" t="str">
        <f ca="1">'Initial unit rates'!$C$146</f>
        <v>Section 109-C: Unit rate 1</v>
      </c>
    </row>
    <row r="162" spans="6:7" x14ac:dyDescent="0.35">
      <c r="F162" s="292" t="s">
        <v>116</v>
      </c>
      <c r="G162" s="58" t="str">
        <f ca="1">'Initial unit rates'!$C$175</f>
        <v>Section 109-D: Unit rate 2</v>
      </c>
    </row>
    <row r="163" spans="6:7" ht="15" thickBot="1" x14ac:dyDescent="0.4">
      <c r="F163" s="292" t="s">
        <v>116</v>
      </c>
      <c r="G163" s="58" t="str">
        <f ca="1">'Initial unit rates'!$C$204</f>
        <v>Section 109-E: Unit rate 3</v>
      </c>
    </row>
    <row r="164" spans="6:7" ht="15" thickTop="1" x14ac:dyDescent="0.35">
      <c r="F164" s="293" t="s">
        <v>80</v>
      </c>
      <c r="G164" s="58" t="str">
        <f ca="1">'Service model charges'!$C$17</f>
        <v>Section 110-A: Inputs to service model charge calculation</v>
      </c>
    </row>
    <row r="165" spans="6:7" x14ac:dyDescent="0.35">
      <c r="F165" s="292" t="s">
        <v>116</v>
      </c>
      <c r="G165" s="58" t="str">
        <f ca="1">'Service model charges'!$C$33</f>
        <v>Section 110-B: Calculation of other operating expenditure per £ of notional asset value</v>
      </c>
    </row>
    <row r="166" spans="6:7" ht="15" thickBot="1" x14ac:dyDescent="0.4">
      <c r="F166" s="292" t="s">
        <v>116</v>
      </c>
      <c r="G166" s="58" t="str">
        <f ca="1">'Service model charges'!$C$37</f>
        <v>Section 110-C: Calculation of service model charges</v>
      </c>
    </row>
    <row r="167" spans="6:7" ht="15" thickTop="1" x14ac:dyDescent="0.35">
      <c r="F167" s="293" t="s">
        <v>82</v>
      </c>
      <c r="G167" s="58" t="str">
        <f ca="1">'Unit rate charges'!$C$19</f>
        <v>Section 111-A: Initial unit rate 1</v>
      </c>
    </row>
    <row r="168" spans="6:7" x14ac:dyDescent="0.35">
      <c r="F168" s="292" t="s">
        <v>116</v>
      </c>
      <c r="G168" s="58" t="str">
        <f ca="1">'Unit rate charges'!$C$49</f>
        <v>Section 111-B: Initial unit rate 2</v>
      </c>
    </row>
    <row r="169" spans="6:7" x14ac:dyDescent="0.35">
      <c r="F169" s="292" t="s">
        <v>116</v>
      </c>
      <c r="G169" s="58" t="str">
        <f ca="1">'Unit rate charges'!$C$79</f>
        <v>Section 111-C: Initial unit rate 3</v>
      </c>
    </row>
    <row r="170" spans="6:7" x14ac:dyDescent="0.35">
      <c r="F170" s="292" t="s">
        <v>116</v>
      </c>
      <c r="G170" s="58" t="str">
        <f ca="1">'Unit rate charges'!$C$109</f>
        <v>Section 111-D: Standing charge factors</v>
      </c>
    </row>
    <row r="171" spans="6:7" x14ac:dyDescent="0.35">
      <c r="F171" s="292" t="s">
        <v>116</v>
      </c>
      <c r="G171" s="58" t="str">
        <f ca="1">'Unit rate charges'!$C$124</f>
        <v>Section 111-E: Contributions to unit rate 1 p/kWh by network level (taking account of standing charges)</v>
      </c>
    </row>
    <row r="172" spans="6:7" x14ac:dyDescent="0.35">
      <c r="F172" s="292" t="s">
        <v>116</v>
      </c>
      <c r="G172" s="58" t="str">
        <f ca="1">'Unit rate charges'!$C$154</f>
        <v>Section 111-F: Contributions to unit rate 2 p/kWh by network level (taking account of standing charges)</v>
      </c>
    </row>
    <row r="173" spans="6:7" x14ac:dyDescent="0.35">
      <c r="F173" s="292" t="s">
        <v>116</v>
      </c>
      <c r="G173" s="58" t="str">
        <f ca="1">'Unit rate charges'!$C$184</f>
        <v>Section 111-G: Contributions to unit rate 3 p/kWh by network level (taking account of standing charges)</v>
      </c>
    </row>
    <row r="174" spans="6:7" ht="15" thickBot="1" x14ac:dyDescent="0.4">
      <c r="F174" s="292" t="s">
        <v>116</v>
      </c>
      <c r="G174" s="58" t="str">
        <f ca="1">'Unit rate charges'!$C$214</f>
        <v>Section 111-H: Unit rates, post application of standing charges</v>
      </c>
    </row>
    <row r="175" spans="6:7" ht="15" thickTop="1" x14ac:dyDescent="0.35">
      <c r="F175" s="293" t="s">
        <v>86</v>
      </c>
      <c r="G175" s="58" t="str">
        <f ca="1">'Capacity charges'!$C$19</f>
        <v>Section 112-A: Inputs to capacity charge calculations</v>
      </c>
    </row>
    <row r="176" spans="6:7" x14ac:dyDescent="0.35">
      <c r="F176" s="292" t="s">
        <v>116</v>
      </c>
      <c r="G176" s="58" t="str">
        <f ca="1">'Capacity charges'!$C$129</f>
        <v>Section 112-B: Capacity-based charge elements (to be split between capacity &amp; fixed charges)</v>
      </c>
    </row>
    <row r="177" spans="6:7" x14ac:dyDescent="0.35">
      <c r="F177" s="292" t="s">
        <v>116</v>
      </c>
      <c r="G177" s="58" t="str">
        <f ca="1">'Capacity charges'!$C$159</f>
        <v>Section 112-C: Exceeded capacity-based charge elements</v>
      </c>
    </row>
    <row r="178" spans="6:7" x14ac:dyDescent="0.35">
      <c r="F178" s="292" t="s">
        <v>116</v>
      </c>
      <c r="G178" s="58" t="str">
        <f ca="1">'Capacity charges'!$C$189</f>
        <v>Section 112-D: Capacity charges for eligible customers, by network level</v>
      </c>
    </row>
    <row r="179" spans="6:7" x14ac:dyDescent="0.35">
      <c r="F179" s="292" t="s">
        <v>116</v>
      </c>
      <c r="G179" s="58" t="str">
        <f ca="1">'Capacity charges'!$C$219</f>
        <v>Section 112-E: Exceeded capacity charges for eligible customers, by network level</v>
      </c>
    </row>
    <row r="180" spans="6:7" x14ac:dyDescent="0.35">
      <c r="F180" s="292" t="s">
        <v>116</v>
      </c>
      <c r="G180" s="58" t="str">
        <f ca="1">'Capacity charges'!$C$254</f>
        <v>Section 112-F: Capacity and exceeded capacity charges</v>
      </c>
    </row>
    <row r="181" spans="6:7" ht="15" thickBot="1" x14ac:dyDescent="0.4">
      <c r="F181" s="292" t="s">
        <v>116</v>
      </c>
      <c r="G181" s="58" t="str">
        <f ca="1">'Capacity charges'!$C$259</f>
        <v>Section 112-G: Capacity elements allocated to fixed charges</v>
      </c>
    </row>
    <row r="182" spans="6:7" ht="15" thickTop="1" x14ac:dyDescent="0.35">
      <c r="F182" s="293" t="s">
        <v>84</v>
      </c>
      <c r="G182" s="58" t="str">
        <f ca="1">'Reactive power charges'!$C$17</f>
        <v>Section 113-A: Inputs to reactive power charge calculations</v>
      </c>
    </row>
    <row r="183" spans="6:7" x14ac:dyDescent="0.35">
      <c r="F183" s="292" t="s">
        <v>116</v>
      </c>
      <c r="G183" s="58" t="str">
        <f ca="1">'Reactive power charges'!$C$120</f>
        <v>Section 113-B: Yardstick charge (demand)</v>
      </c>
    </row>
    <row r="184" spans="6:7" x14ac:dyDescent="0.35">
      <c r="F184" s="292" t="s">
        <v>116</v>
      </c>
      <c r="G184" s="58" t="str">
        <f ca="1">'Reactive power charges'!$C$155</f>
        <v>Section 113-C: Yardstick charge used for generation</v>
      </c>
    </row>
    <row r="185" spans="6:7" x14ac:dyDescent="0.35">
      <c r="F185" s="292" t="s">
        <v>116</v>
      </c>
      <c r="G185" s="58" t="str">
        <f ca="1">'Reactive power charges'!$C$190</f>
        <v>Section 113-D: Reactive power charges, all customer categories</v>
      </c>
    </row>
    <row r="186" spans="6:7" ht="15" thickBot="1" x14ac:dyDescent="0.4">
      <c r="F186" s="292" t="s">
        <v>116</v>
      </c>
      <c r="G186" s="58" t="str">
        <f ca="1">'Reactive power charges'!$C$220</f>
        <v>Section 113-E: Reactive power charges for applicable customers</v>
      </c>
    </row>
    <row r="187" spans="6:7" ht="15" thickTop="1" x14ac:dyDescent="0.35">
      <c r="F187" s="293" t="s">
        <v>88</v>
      </c>
      <c r="G187" s="58" t="str">
        <f ca="1">'Fixed charges'!$C$16</f>
        <v>Section 114-A: Volumes (discounted MPANs &amp; maximum load)</v>
      </c>
    </row>
    <row r="188" spans="6:7" x14ac:dyDescent="0.35">
      <c r="F188" s="292" t="s">
        <v>116</v>
      </c>
      <c r="G188" s="58" t="str">
        <f ca="1">'Fixed charges'!$C$22</f>
        <v>Section 114-B: Capacity elements allocated to fixed charges</v>
      </c>
    </row>
    <row r="189" spans="6:7" x14ac:dyDescent="0.35">
      <c r="F189" s="292" t="s">
        <v>116</v>
      </c>
      <c r="G189" s="58" t="str">
        <f ca="1">'Fixed charges'!$C$52</f>
        <v>Section 114-C: Service model costs allocated to fixed charges</v>
      </c>
    </row>
    <row r="190" spans="6:7" x14ac:dyDescent="0.35">
      <c r="F190" s="292" t="s">
        <v>116</v>
      </c>
      <c r="G190" s="58" t="str">
        <f ca="1">'Fixed charges'!$C$58</f>
        <v>Section 114-D: Flags</v>
      </c>
    </row>
    <row r="191" spans="6:7" x14ac:dyDescent="0.35">
      <c r="F191" s="292" t="s">
        <v>116</v>
      </c>
      <c r="G191" s="58" t="str">
        <f ca="1">'Fixed charges'!$C$67</f>
        <v>Section 114-E: Revenue allocated to fixed charges</v>
      </c>
    </row>
    <row r="192" spans="6:7" x14ac:dyDescent="0.35">
      <c r="F192" s="292" t="s">
        <v>116</v>
      </c>
      <c r="G192" s="58" t="str">
        <f ca="1">'Fixed charges'!$C$97</f>
        <v>Section 114-F: Revenue allocated to fixed charges, by aggregation group</v>
      </c>
    </row>
    <row r="193" spans="6:7" x14ac:dyDescent="0.35">
      <c r="F193" s="292" t="s">
        <v>116</v>
      </c>
      <c r="G193" s="58" t="str">
        <f ca="1">'Fixed charges'!$C$127</f>
        <v>Section 114-G: Fixed charges, by network level</v>
      </c>
    </row>
    <row r="194" spans="6:7" ht="15" thickBot="1" x14ac:dyDescent="0.4">
      <c r="F194" s="292" t="s">
        <v>116</v>
      </c>
      <c r="G194" s="58" t="str">
        <f ca="1">'Fixed charges'!$C$159</f>
        <v>Section 114-H: Aggregated fixed charges</v>
      </c>
    </row>
    <row r="195" spans="6:7" ht="15" thickTop="1" x14ac:dyDescent="0.35">
      <c r="F195" s="293" t="s">
        <v>1157</v>
      </c>
      <c r="G195" s="58" t="str">
        <f ca="1">'SoLR &amp; bad debt adders'!$C$16</f>
        <v>Section 115-A: Inputs for fixed tariff adjustments</v>
      </c>
    </row>
    <row r="196" spans="6:7" x14ac:dyDescent="0.35">
      <c r="F196" s="292" t="s">
        <v>116</v>
      </c>
      <c r="G196" s="58" t="str">
        <f ca="1">'SoLR &amp; bad debt adders'!$C$33</f>
        <v>Section 115-B: Calculation of fixed tariff adjustments</v>
      </c>
    </row>
    <row r="197" spans="6:7" ht="15" thickBot="1" x14ac:dyDescent="0.4">
      <c r="F197" s="292" t="s">
        <v>116</v>
      </c>
      <c r="G197" s="58" t="str">
        <f ca="1">'SoLR &amp; bad debt adders'!$C$48</f>
        <v>Section 115-C: Calculation of fixed charge adder revenue</v>
      </c>
    </row>
    <row r="198" spans="6:7" ht="15" thickTop="1" x14ac:dyDescent="0.35">
      <c r="F198" s="293" t="s">
        <v>90</v>
      </c>
      <c r="G198" s="58" t="str">
        <f ca="1">'Revenue matching'!$C$15</f>
        <v>Section 116-A: Inputs to revenue matching</v>
      </c>
    </row>
    <row r="199" spans="6:7" x14ac:dyDescent="0.35">
      <c r="F199" s="292" t="s">
        <v>116</v>
      </c>
      <c r="G199" s="58" t="str">
        <f ca="1">'Revenue matching'!$C$69</f>
        <v>Section 116-B: Net revenue before matching</v>
      </c>
    </row>
    <row r="200" spans="6:7" x14ac:dyDescent="0.35">
      <c r="F200" s="292" t="s">
        <v>116</v>
      </c>
      <c r="G200" s="58" t="str">
        <f ca="1">'Revenue matching'!$C$88</f>
        <v>Section 116-C: Grouping of residual bands where a band has insufficient customers</v>
      </c>
    </row>
    <row r="201" spans="6:7" x14ac:dyDescent="0.35">
      <c r="F201" s="292" t="s">
        <v>116</v>
      </c>
      <c r="G201" s="58" t="str">
        <f ca="1">'Revenue matching'!$C$151</f>
        <v>Section 116-D: Calculating MPANs for matching</v>
      </c>
    </row>
    <row r="202" spans="6:7" x14ac:dyDescent="0.35">
      <c r="F202" s="292" t="s">
        <v>116</v>
      </c>
      <c r="G202" s="58" t="str">
        <f ca="1">'Revenue matching'!$C$159</f>
        <v>Section 116-E: Calculating unit volumes for matching</v>
      </c>
    </row>
    <row r="203" spans="6:7" x14ac:dyDescent="0.35">
      <c r="F203" s="292" t="s">
        <v>116</v>
      </c>
      <c r="G203" s="58" t="str">
        <f ca="1">'Revenue matching'!$C$176</f>
        <v>Section 116-F: Allocating revenue to tariffs</v>
      </c>
    </row>
    <row r="204" spans="6:7" x14ac:dyDescent="0.35">
      <c r="F204" s="292" t="s">
        <v>116</v>
      </c>
      <c r="G204" s="58" t="str">
        <f ca="1">'Revenue matching'!$C$192</f>
        <v>Section 116-G: Calculating the residual fixed charge</v>
      </c>
    </row>
    <row r="205" spans="6:7" x14ac:dyDescent="0.35">
      <c r="F205" s="292" t="s">
        <v>116</v>
      </c>
      <c r="G205" s="58" t="str">
        <f ca="1">'Revenue matching'!$C$200</f>
        <v>Section 116-H: Calculating the initial residual unit rate</v>
      </c>
    </row>
    <row r="206" spans="6:7" x14ac:dyDescent="0.35">
      <c r="F206" s="292" t="s">
        <v>116</v>
      </c>
      <c r="G206" s="58" t="str">
        <f ca="1">'Revenue matching'!$C$213</f>
        <v>Section 116-I: Floor on negative residual fixed charges</v>
      </c>
    </row>
    <row r="207" spans="6:7" x14ac:dyDescent="0.35">
      <c r="F207" s="292" t="s">
        <v>116</v>
      </c>
      <c r="G207" s="58" t="str">
        <f ca="1">'Revenue matching'!$C$232</f>
        <v>Section 116-J: Ranking unit rate volumes and tariffs</v>
      </c>
    </row>
    <row r="208" spans="6:7" x14ac:dyDescent="0.35">
      <c r="F208" s="292" t="s">
        <v>116</v>
      </c>
      <c r="G208" s="58" t="str">
        <f ca="1">'Revenue matching'!$C$286</f>
        <v>Section 116-K: Revenue matching for three timebands</v>
      </c>
    </row>
    <row r="209" spans="6:7" x14ac:dyDescent="0.35">
      <c r="F209" s="292" t="s">
        <v>116</v>
      </c>
      <c r="G209" s="58" t="str">
        <f ca="1">'Revenue matching'!$C$313</f>
        <v>Section 116-L: Revenue matching for two timebands</v>
      </c>
    </row>
    <row r="210" spans="6:7" x14ac:dyDescent="0.35">
      <c r="F210" s="292" t="s">
        <v>116</v>
      </c>
      <c r="G210" s="58" t="str">
        <f ca="1">'Revenue matching'!$C$345</f>
        <v>Section 116-M: Revenue matching for one timeband</v>
      </c>
    </row>
    <row r="211" spans="6:7" x14ac:dyDescent="0.35">
      <c r="F211" s="292" t="s">
        <v>116</v>
      </c>
      <c r="G211" s="58" t="str">
        <f ca="1">'Revenue matching'!$C$377</f>
        <v>Section 116-N: Revenue matching adders by timeband</v>
      </c>
    </row>
    <row r="212" spans="6:7" ht="15" thickBot="1" x14ac:dyDescent="0.4">
      <c r="F212" s="292" t="s">
        <v>116</v>
      </c>
      <c r="G212" s="58" t="str">
        <f ca="1">'Revenue matching'!$C$409</f>
        <v>Section 116-O: Final adders</v>
      </c>
    </row>
    <row r="213" spans="6:7" ht="15" thickTop="1" x14ac:dyDescent="0.35">
      <c r="F213" s="293" t="s">
        <v>92</v>
      </c>
      <c r="G213" s="58" t="str">
        <f ca="1">Rounding!$C$16</f>
        <v>Section 117-A: Pre-match, pre-rounding tariff forecast</v>
      </c>
    </row>
    <row r="214" spans="6:7" x14ac:dyDescent="0.35">
      <c r="F214" s="292" t="s">
        <v>116</v>
      </c>
      <c r="G214" s="58" t="str">
        <f ca="1">Rounding!$C$28</f>
        <v>Section 117-B: Adders for revenue matching</v>
      </c>
    </row>
    <row r="215" spans="6:7" x14ac:dyDescent="0.35">
      <c r="F215" s="292" t="s">
        <v>116</v>
      </c>
      <c r="G215" s="58" t="str">
        <f ca="1">Rounding!$C$40</f>
        <v>Section 117-C: Adder to fixed charge for allocated pass-through costs</v>
      </c>
    </row>
    <row r="216" spans="6:7" x14ac:dyDescent="0.35">
      <c r="F216" s="292" t="s">
        <v>116</v>
      </c>
      <c r="G216" s="58" t="str">
        <f ca="1">Rounding!$C$52</f>
        <v>Section 117-D: LDNO discounts</v>
      </c>
    </row>
    <row r="217" spans="6:7" x14ac:dyDescent="0.35">
      <c r="F217" s="292" t="s">
        <v>116</v>
      </c>
      <c r="G217" s="58" t="str">
        <f ca="1">Rounding!$C$92</f>
        <v>Section 117-E: Decimal places for rounding</v>
      </c>
    </row>
    <row r="218" spans="6:7" x14ac:dyDescent="0.35">
      <c r="F218" s="292" t="s">
        <v>116</v>
      </c>
      <c r="G218" s="58" t="str">
        <f ca="1">Rounding!$C$107</f>
        <v>Section 117-F: Tariff forecast, post-revenue matching</v>
      </c>
    </row>
    <row r="219" spans="6:7" x14ac:dyDescent="0.35">
      <c r="F219" s="292" t="s">
        <v>116</v>
      </c>
      <c r="G219" s="58" t="str">
        <f ca="1">Rounding!$C$118</f>
        <v>Section 117-G: Tariff forecast, post-adders &amp; discounting</v>
      </c>
    </row>
    <row r="220" spans="6:7" ht="15" thickBot="1" x14ac:dyDescent="0.4">
      <c r="F220" s="292" t="s">
        <v>116</v>
      </c>
      <c r="G220" s="58" t="str">
        <f ca="1">Rounding!$C$147</f>
        <v>Section 117-H: Tariff forecast, post-rounding</v>
      </c>
    </row>
    <row r="221" spans="6:7" ht="15" thickTop="1" x14ac:dyDescent="0.35">
      <c r="F221" s="293" t="s">
        <v>94</v>
      </c>
      <c r="G221" s="58" t="str">
        <f ca="1">'Net revenue summary'!$C$13</f>
        <v>Section 118-A: Volume forecasts</v>
      </c>
    </row>
    <row r="222" spans="6:7" x14ac:dyDescent="0.35">
      <c r="F222" s="292" t="s">
        <v>116</v>
      </c>
      <c r="G222" s="58" t="str">
        <f ca="1">'Net revenue summary'!$C$52</f>
        <v>Section 118-B: Tariff forecast</v>
      </c>
    </row>
    <row r="223" spans="6:7" x14ac:dyDescent="0.35">
      <c r="F223" s="292" t="s">
        <v>116</v>
      </c>
      <c r="G223" s="58" t="str">
        <f ca="1">'Net revenue summary'!$C$81</f>
        <v>Section 118-C: Net revenue components</v>
      </c>
    </row>
    <row r="224" spans="6:7" x14ac:dyDescent="0.35">
      <c r="F224" s="292" t="s">
        <v>116</v>
      </c>
      <c r="G224" s="58" t="str">
        <f ca="1">'Net revenue summary'!$C$92</f>
        <v>Section 118-D: Net revenue by tariff</v>
      </c>
    </row>
    <row r="225" spans="2:7" x14ac:dyDescent="0.35">
      <c r="F225" s="292" t="s">
        <v>116</v>
      </c>
      <c r="G225" s="58" t="str">
        <f ca="1">'Net revenue summary'!$C$124</f>
        <v>Section 118-E: Net revenue summary (for information only)</v>
      </c>
    </row>
    <row r="226" spans="2:7" x14ac:dyDescent="0.35">
      <c r="F226" s="292" t="s">
        <v>116</v>
      </c>
      <c r="G226" s="58" t="str">
        <f ca="1">'Net revenue summary'!$C$138</f>
        <v>Section 118-F: Typical bills</v>
      </c>
    </row>
    <row r="227" spans="2:7" x14ac:dyDescent="0.35">
      <c r="F227" s="292" t="s">
        <v>116</v>
      </c>
      <c r="G227" s="58" t="str">
        <f ca="1">'Net revenue summary'!$C$144</f>
        <v>Section 118-G: Average bill per kWh</v>
      </c>
    </row>
    <row r="228" spans="2:7" x14ac:dyDescent="0.35">
      <c r="F228" s="292" t="s">
        <v>116</v>
      </c>
      <c r="G228" s="58" t="str">
        <f ca="1">'Net revenue summary'!$C$152</f>
        <v>Section 118-H: Previous year all the way tariff forecast</v>
      </c>
    </row>
    <row r="229" spans="2:7" x14ac:dyDescent="0.35">
      <c r="F229" s="292" t="s">
        <v>116</v>
      </c>
      <c r="G229" s="58" t="str">
        <f ca="1">'Net revenue summary'!$C$163</f>
        <v>Section 118-I: Previous year net revenue from all the way tariff forecast</v>
      </c>
    </row>
    <row r="230" spans="2:7" x14ac:dyDescent="0.35">
      <c r="F230" s="292" t="s">
        <v>116</v>
      </c>
      <c r="G230" s="58" t="str">
        <f ca="1">'Net revenue summary'!$C$178</f>
        <v>Section 118-J: LDNO typical bills using all-the-way volumes</v>
      </c>
    </row>
    <row r="231" spans="2:7" ht="15" thickBot="1" x14ac:dyDescent="0.4">
      <c r="F231" s="292" t="s">
        <v>116</v>
      </c>
      <c r="G231" s="58" t="str">
        <f ca="1">'Net revenue summary'!$C$202</f>
        <v>Section 118-K: LDNO margins</v>
      </c>
    </row>
    <row r="232" spans="2:7" ht="15.5" thickTop="1" thickBot="1" x14ac:dyDescent="0.4">
      <c r="F232" s="295" t="s">
        <v>96</v>
      </c>
      <c r="G232" s="58" t="str">
        <f>'Tariff summary'!$C$13</f>
        <v>Output 101-A: Tariffs for 2022/23</v>
      </c>
    </row>
    <row r="233" spans="2:7" ht="15" thickTop="1" x14ac:dyDescent="0.35">
      <c r="F233" s="295" t="s">
        <v>98</v>
      </c>
      <c r="G233" s="58" t="str">
        <f ca="1">'Output to other models'!$C$14</f>
        <v>Output 102-A: CDCM notional EHV asset values</v>
      </c>
    </row>
    <row r="234" spans="2:7" x14ac:dyDescent="0.35">
      <c r="F234" s="294" t="s">
        <v>116</v>
      </c>
      <c r="G234" s="58" t="str">
        <f ca="1">'Output to other models'!$C$27</f>
        <v>Output 102-B: CDCM end user tariff forecast</v>
      </c>
    </row>
    <row r="235" spans="2:7" x14ac:dyDescent="0.35">
      <c r="F235" s="294" t="s">
        <v>116</v>
      </c>
      <c r="G235" s="58" t="str">
        <f ca="1">'Output to other models'!$C$45</f>
        <v>Output 102-C: CDCM non-tariff outputs to EDCM</v>
      </c>
    </row>
    <row r="236" spans="2:7" x14ac:dyDescent="0.35">
      <c r="F236" s="294" t="s">
        <v>116</v>
      </c>
      <c r="G236" s="58" t="str">
        <f ca="1">'Output to other models'!$C$57</f>
        <v>Output 102-D: Outputs for DNOs' internal use</v>
      </c>
    </row>
    <row r="237" spans="2:7" x14ac:dyDescent="0.35">
      <c r="F237" s="294" t="s">
        <v>116</v>
      </c>
      <c r="G237" s="58" t="str">
        <f ca="1">'Output to other models'!$C$67</f>
        <v>Output 102-E: Outputs for IDNOs' internal use</v>
      </c>
    </row>
    <row r="239" spans="2:7" x14ac:dyDescent="0.35">
      <c r="B239" s="30" t="s">
        <v>106</v>
      </c>
      <c r="C239" s="30"/>
      <c r="D239" s="30"/>
      <c r="E239" s="30"/>
      <c r="F239" s="30"/>
      <c r="G239" s="30"/>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4" location="'Output to other models'!A4" display="'" xr:uid="{CEDF8525-2468-4C90-8A22-58EB79931FD7}"/>
    <hyperlink ref="G234" location="'Output to other models'!$C$27" display="'Output to other models'!$C$27" xr:uid="{2119FAA1-37F7-403C-B46D-8A4DC1929B8C}"/>
    <hyperlink ref="F235" location="'Output to other models'!A4" display="'" xr:uid="{3B9F3DF8-E51C-4793-8C9A-6214AEBA2689}"/>
    <hyperlink ref="G235" location="'Output to other models'!$C$45" display="'Output to other models'!$C$45" xr:uid="{004EAE5A-9F20-4E77-BC80-D278A86C774C}"/>
    <hyperlink ref="F236" location="'Output to other models'!A4" display="'" xr:uid="{5FAD9F56-67C2-4BFE-8F4A-5CAF67B4BC9E}"/>
    <hyperlink ref="G236" location="'Output to other models'!$C$57" display="'Output to other models'!$C$57" xr:uid="{F7F3D442-6E7E-406F-928D-5204DCE97ADA}"/>
    <hyperlink ref="F237" location="'Output to other models'!A4" display="'" xr:uid="{4DF22263-0264-4276-96F7-22A412D7E48E}"/>
    <hyperlink ref="G237" location="'Output to other models'!$C$67" display="'Output to other models'!$C$67" xr:uid="{483A9241-30E7-49FC-AED1-0F7D1DD2CF42}"/>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4.5" x14ac:dyDescent="0.35"/>
  <cols>
    <col min="1" max="5" width="2.54296875" customWidth="1"/>
    <col min="6" max="6" width="59.54296875" customWidth="1"/>
    <col min="7" max="7" width="90.453125" customWidth="1"/>
    <col min="8" max="8" width="20.54296875" customWidth="1"/>
    <col min="9" max="9" width="2.54296875" customWidth="1"/>
    <col min="10" max="16" width="15.453125" hidden="1" customWidth="1"/>
    <col min="17" max="17" width="2.54296875" hidden="1" customWidth="1"/>
    <col min="18" max="30" width="0" hidden="1" customWidth="1"/>
    <col min="31" max="16384" width="9.26953125" hidden="1"/>
  </cols>
  <sheetData>
    <row r="1" spans="1:8" s="1" customFormat="1" x14ac:dyDescent="0.35">
      <c r="A1" s="1" t="str">
        <f ca="1">MID(CELL("filename",A1),FIND("]",CELL("filename",A1))+1,255)</f>
        <v>Named ranges</v>
      </c>
    </row>
    <row r="2" spans="1:8" s="1" customFormat="1" x14ac:dyDescent="0.35">
      <c r="A2" s="1" t="str">
        <f>Cover!D21&amp;" - "&amp;Cover!D23</f>
        <v>Scottish Hydro Electric Power Distribution plc - Final_V1.1 (Updated 31-01-22)</v>
      </c>
    </row>
    <row r="3" spans="1:8" s="5" customFormat="1" x14ac:dyDescent="0.35">
      <c r="A3" s="5" t="str">
        <f>Cover!D2&amp;" - "&amp;Cover!D8&amp;" v"&amp;Cover!D10&amp;" - "&amp;Cover!D19</f>
        <v>CDCM charging model - Release for charge setting v7 - 2022/23</v>
      </c>
    </row>
    <row r="5" spans="1:8" x14ac:dyDescent="0.35">
      <c r="B5" s="41" t="s">
        <v>121</v>
      </c>
      <c r="C5" s="41"/>
      <c r="D5" s="41"/>
      <c r="E5" s="41"/>
      <c r="F5" s="42"/>
      <c r="G5" s="42"/>
      <c r="H5" s="42"/>
    </row>
    <row r="6" spans="1:8" x14ac:dyDescent="0.35">
      <c r="B6" s="40"/>
      <c r="C6" s="40"/>
      <c r="D6" s="40"/>
      <c r="E6" s="40"/>
      <c r="F6" s="43"/>
      <c r="G6" s="40"/>
      <c r="H6" s="40"/>
    </row>
    <row r="7" spans="1:8" x14ac:dyDescent="0.35">
      <c r="F7" s="58" t="s">
        <v>122</v>
      </c>
      <c r="G7" t="s">
        <v>123</v>
      </c>
      <c r="H7" t="s">
        <v>114</v>
      </c>
    </row>
    <row r="8" spans="1:8" x14ac:dyDescent="0.35">
      <c r="F8" s="58" t="s">
        <v>124</v>
      </c>
      <c r="G8" t="s">
        <v>125</v>
      </c>
      <c r="H8" t="s">
        <v>53</v>
      </c>
    </row>
    <row r="9" spans="1:8" x14ac:dyDescent="0.35">
      <c r="F9" s="58" t="s">
        <v>126</v>
      </c>
      <c r="G9" t="s">
        <v>127</v>
      </c>
      <c r="H9" t="s">
        <v>60</v>
      </c>
    </row>
    <row r="10" spans="1:8" x14ac:dyDescent="0.35">
      <c r="F10" s="58" t="s">
        <v>128</v>
      </c>
      <c r="G10" t="s">
        <v>129</v>
      </c>
      <c r="H10" t="s">
        <v>114</v>
      </c>
    </row>
    <row r="11" spans="1:8" x14ac:dyDescent="0.35">
      <c r="F11" s="58" t="s">
        <v>130</v>
      </c>
      <c r="G11" t="s">
        <v>131</v>
      </c>
      <c r="H11" t="s">
        <v>53</v>
      </c>
    </row>
    <row r="12" spans="1:8" x14ac:dyDescent="0.35">
      <c r="F12" s="58" t="s">
        <v>132</v>
      </c>
      <c r="G12" t="s">
        <v>133</v>
      </c>
      <c r="H12" t="s">
        <v>60</v>
      </c>
    </row>
    <row r="13" spans="1:8" x14ac:dyDescent="0.35">
      <c r="F13" s="58" t="s">
        <v>134</v>
      </c>
      <c r="G13" t="s">
        <v>135</v>
      </c>
      <c r="H13" t="s">
        <v>53</v>
      </c>
    </row>
    <row r="14" spans="1:8" x14ac:dyDescent="0.35">
      <c r="F14" s="58" t="s">
        <v>136</v>
      </c>
      <c r="G14" t="s">
        <v>137</v>
      </c>
      <c r="H14" t="s">
        <v>53</v>
      </c>
    </row>
    <row r="15" spans="1:8" x14ac:dyDescent="0.35">
      <c r="F15" s="58" t="s">
        <v>138</v>
      </c>
      <c r="G15" t="s">
        <v>139</v>
      </c>
      <c r="H15" t="s">
        <v>53</v>
      </c>
    </row>
    <row r="16" spans="1:8" x14ac:dyDescent="0.35">
      <c r="F16" s="58" t="s">
        <v>140</v>
      </c>
      <c r="G16" t="s">
        <v>141</v>
      </c>
      <c r="H16" t="s">
        <v>53</v>
      </c>
    </row>
    <row r="17" spans="2:8" x14ac:dyDescent="0.35">
      <c r="F17" s="58"/>
    </row>
    <row r="18" spans="2:8" x14ac:dyDescent="0.35">
      <c r="B18" s="41" t="s">
        <v>106</v>
      </c>
      <c r="C18" s="41"/>
      <c r="D18" s="41"/>
      <c r="E18" s="41"/>
      <c r="F18" s="42"/>
      <c r="G18" s="42"/>
      <c r="H18" s="4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20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16384" width="9.26953125" hidden="1"/>
  </cols>
  <sheetData>
    <row r="1" spans="1:43" s="1" customFormat="1" x14ac:dyDescent="0.35">
      <c r="A1" s="1" t="str">
        <f ca="1">MID(CELL("filename",A1),FIND("]",CELL("filename",A1))+1,255)</f>
        <v>Fixed inputs</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H196 &amp; IF(H196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Q5" s="61" t="s">
        <v>145</v>
      </c>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5">
      <c r="C9" s="29" t="s">
        <v>146</v>
      </c>
    </row>
    <row r="11" spans="1:43" x14ac:dyDescent="0.35">
      <c r="B11" s="30" t="s">
        <v>53</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3" spans="1:43" x14ac:dyDescent="0.3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35">
      <c r="E15" s="28" t="s">
        <v>131</v>
      </c>
      <c r="G15" t="s">
        <v>147</v>
      </c>
      <c r="H15" s="242">
        <v>24</v>
      </c>
    </row>
    <row r="16" spans="1:43" x14ac:dyDescent="0.35">
      <c r="E16" s="28" t="s">
        <v>148</v>
      </c>
      <c r="G16" t="s">
        <v>149</v>
      </c>
      <c r="H16" s="242">
        <v>10</v>
      </c>
    </row>
    <row r="17" spans="3:43" x14ac:dyDescent="0.35">
      <c r="E17" s="28" t="s">
        <v>150</v>
      </c>
      <c r="G17" t="s">
        <v>149</v>
      </c>
      <c r="H17" s="242">
        <v>100</v>
      </c>
    </row>
    <row r="18" spans="3:43" x14ac:dyDescent="0.35">
      <c r="E18" s="28" t="s">
        <v>151</v>
      </c>
      <c r="G18" t="s">
        <v>149</v>
      </c>
      <c r="H18" s="242">
        <v>1000</v>
      </c>
    </row>
    <row r="20" spans="3:43" x14ac:dyDescent="0.3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2" spans="3:43" x14ac:dyDescent="0.35">
      <c r="D22" s="29" t="s">
        <v>152</v>
      </c>
    </row>
    <row r="23" spans="3:43" x14ac:dyDescent="0.35">
      <c r="E23" s="32"/>
    </row>
    <row r="24" spans="3:43" x14ac:dyDescent="0.35">
      <c r="E24" s="32" t="s">
        <v>153</v>
      </c>
      <c r="F24" s="29"/>
      <c r="I24" t="s">
        <v>154</v>
      </c>
      <c r="AQ24" t="s">
        <v>155</v>
      </c>
    </row>
    <row r="25" spans="3:43" x14ac:dyDescent="0.35">
      <c r="F25" s="23" t="s">
        <v>156</v>
      </c>
      <c r="G25" s="23" t="s">
        <v>149</v>
      </c>
      <c r="H25" s="246">
        <v>3</v>
      </c>
    </row>
    <row r="26" spans="3:43" x14ac:dyDescent="0.35">
      <c r="F26" t="s">
        <v>157</v>
      </c>
      <c r="G26" t="s">
        <v>149</v>
      </c>
      <c r="H26" s="242">
        <v>3</v>
      </c>
    </row>
    <row r="27" spans="3:43" x14ac:dyDescent="0.35">
      <c r="F27" t="s">
        <v>158</v>
      </c>
      <c r="G27" t="s">
        <v>149</v>
      </c>
      <c r="H27" s="242">
        <v>3</v>
      </c>
    </row>
    <row r="28" spans="3:43" x14ac:dyDescent="0.35">
      <c r="F28" t="s">
        <v>159</v>
      </c>
      <c r="G28" t="s">
        <v>149</v>
      </c>
      <c r="H28" s="242">
        <v>2</v>
      </c>
    </row>
    <row r="29" spans="3:43" x14ac:dyDescent="0.35">
      <c r="F29" t="s">
        <v>160</v>
      </c>
      <c r="G29" t="s">
        <v>149</v>
      </c>
      <c r="H29" s="242">
        <v>2</v>
      </c>
    </row>
    <row r="30" spans="3:43" x14ac:dyDescent="0.35">
      <c r="F30" t="s">
        <v>161</v>
      </c>
      <c r="G30" t="s">
        <v>149</v>
      </c>
      <c r="H30" s="242">
        <v>2</v>
      </c>
    </row>
    <row r="31" spans="3:43" x14ac:dyDescent="0.35">
      <c r="F31" s="37" t="s">
        <v>162</v>
      </c>
      <c r="G31" s="37" t="s">
        <v>149</v>
      </c>
      <c r="H31" s="247">
        <v>3</v>
      </c>
    </row>
    <row r="33" spans="3:43" x14ac:dyDescent="0.3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5" spans="3:43" x14ac:dyDescent="0.35">
      <c r="E35" s="28" t="s">
        <v>163</v>
      </c>
      <c r="G35" t="s">
        <v>164</v>
      </c>
      <c r="H35" s="242">
        <v>40</v>
      </c>
      <c r="I35" t="s">
        <v>154</v>
      </c>
      <c r="AQ35" s="3" t="s">
        <v>165</v>
      </c>
    </row>
    <row r="37" spans="3:43" x14ac:dyDescent="0.35">
      <c r="E37" s="28" t="s">
        <v>166</v>
      </c>
      <c r="G37" t="s">
        <v>167</v>
      </c>
      <c r="H37" s="242">
        <v>0.95</v>
      </c>
      <c r="I37" t="s">
        <v>154</v>
      </c>
      <c r="AQ37" t="s">
        <v>168</v>
      </c>
    </row>
    <row r="39" spans="3:43" x14ac:dyDescent="0.35">
      <c r="E39" s="28" t="s">
        <v>169</v>
      </c>
      <c r="G39" t="s">
        <v>167</v>
      </c>
      <c r="H39" s="248">
        <v>0.6</v>
      </c>
      <c r="I39" t="s">
        <v>154</v>
      </c>
      <c r="AQ39" s="3" t="s">
        <v>170</v>
      </c>
    </row>
    <row r="41" spans="3:43" x14ac:dyDescent="0.35">
      <c r="E41" s="28" t="s">
        <v>171</v>
      </c>
      <c r="G41" s="28" t="s">
        <v>172</v>
      </c>
      <c r="H41" s="242">
        <v>500</v>
      </c>
      <c r="I41" t="s">
        <v>154</v>
      </c>
      <c r="AQ41" s="63" t="s">
        <v>173</v>
      </c>
    </row>
    <row r="43" spans="3:43" x14ac:dyDescent="0.3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5" spans="3:43" x14ac:dyDescent="0.35">
      <c r="E45" s="32" t="s">
        <v>174</v>
      </c>
    </row>
    <row r="46" spans="3:43" x14ac:dyDescent="0.35">
      <c r="F46" s="64" t="s">
        <v>175</v>
      </c>
      <c r="G46" s="23" t="s">
        <v>176</v>
      </c>
      <c r="H46" s="23"/>
      <c r="I46" s="23"/>
      <c r="J46" s="246">
        <v>1</v>
      </c>
      <c r="K46" s="246">
        <v>1</v>
      </c>
      <c r="L46" s="246">
        <v>1</v>
      </c>
      <c r="M46" s="246">
        <v>1</v>
      </c>
      <c r="N46" s="246">
        <v>1</v>
      </c>
      <c r="O46" s="246">
        <v>0</v>
      </c>
      <c r="P46" s="246">
        <v>0</v>
      </c>
      <c r="Q46" s="246">
        <v>1</v>
      </c>
      <c r="R46" s="65"/>
      <c r="S46" s="65"/>
      <c r="T46" s="65"/>
      <c r="U46" s="65"/>
      <c r="V46" s="65"/>
      <c r="W46" s="65"/>
      <c r="X46" s="65"/>
      <c r="Y46" s="65"/>
    </row>
    <row r="47" spans="3:43" x14ac:dyDescent="0.35">
      <c r="F47" s="28" t="s">
        <v>177</v>
      </c>
      <c r="G47" t="s">
        <v>176</v>
      </c>
      <c r="J47" s="242">
        <v>1</v>
      </c>
      <c r="K47" s="242">
        <v>1</v>
      </c>
      <c r="L47" s="242">
        <v>1</v>
      </c>
      <c r="M47" s="242">
        <v>1</v>
      </c>
      <c r="N47" s="242">
        <v>1</v>
      </c>
      <c r="O47" s="242">
        <v>0</v>
      </c>
      <c r="P47" s="242">
        <v>0</v>
      </c>
      <c r="Q47" s="242">
        <v>1</v>
      </c>
      <c r="R47" s="66"/>
      <c r="S47" s="66"/>
      <c r="T47" s="66"/>
      <c r="U47" s="66"/>
      <c r="V47" s="66"/>
      <c r="W47" s="66"/>
      <c r="X47" s="66"/>
      <c r="Y47" s="66"/>
    </row>
    <row r="48" spans="3:43" x14ac:dyDescent="0.35">
      <c r="F48" s="28" t="s">
        <v>178</v>
      </c>
      <c r="G48" t="s">
        <v>176</v>
      </c>
      <c r="J48" s="242">
        <v>0</v>
      </c>
      <c r="K48" s="242">
        <v>0</v>
      </c>
      <c r="L48" s="242">
        <v>0</v>
      </c>
      <c r="M48" s="242">
        <v>0</v>
      </c>
      <c r="N48" s="242">
        <v>0</v>
      </c>
      <c r="O48" s="242">
        <v>1</v>
      </c>
      <c r="P48" s="242">
        <v>0</v>
      </c>
      <c r="Q48" s="242">
        <v>0</v>
      </c>
      <c r="R48" s="66"/>
      <c r="S48" s="66"/>
      <c r="T48" s="66"/>
      <c r="U48" s="66"/>
      <c r="V48" s="66"/>
      <c r="W48" s="66"/>
      <c r="X48" s="66"/>
      <c r="Y48" s="66"/>
    </row>
    <row r="49" spans="5:43" x14ac:dyDescent="0.35">
      <c r="F49" s="67" t="s">
        <v>179</v>
      </c>
      <c r="G49" s="37" t="s">
        <v>176</v>
      </c>
      <c r="H49" s="37"/>
      <c r="I49" s="37"/>
      <c r="J49" s="247">
        <v>0</v>
      </c>
      <c r="K49" s="247">
        <v>0</v>
      </c>
      <c r="L49" s="247">
        <v>0</v>
      </c>
      <c r="M49" s="247">
        <v>0</v>
      </c>
      <c r="N49" s="247">
        <v>0</v>
      </c>
      <c r="O49" s="247">
        <v>0</v>
      </c>
      <c r="P49" s="247">
        <v>1</v>
      </c>
      <c r="Q49" s="247">
        <v>0</v>
      </c>
      <c r="R49" s="68"/>
      <c r="S49" s="68"/>
      <c r="T49" s="68"/>
      <c r="U49" s="68"/>
      <c r="V49" s="68"/>
      <c r="W49" s="68"/>
      <c r="X49" s="68"/>
      <c r="Y49" s="68"/>
    </row>
    <row r="51" spans="5:43" x14ac:dyDescent="0.35">
      <c r="E51" s="32" t="s">
        <v>180</v>
      </c>
      <c r="I51" t="s">
        <v>154</v>
      </c>
      <c r="AQ51" s="3" t="s">
        <v>181</v>
      </c>
    </row>
    <row r="52" spans="5:43" x14ac:dyDescent="0.35">
      <c r="E52" s="29" t="s">
        <v>182</v>
      </c>
    </row>
    <row r="53" spans="5:43" x14ac:dyDescent="0.35">
      <c r="F53" s="64" t="s">
        <v>183</v>
      </c>
      <c r="G53" s="23" t="s">
        <v>176</v>
      </c>
      <c r="H53" s="69"/>
      <c r="I53" s="69"/>
      <c r="J53" s="246">
        <v>0</v>
      </c>
      <c r="K53" s="246">
        <v>0</v>
      </c>
      <c r="L53" s="246">
        <v>0</v>
      </c>
      <c r="M53" s="246">
        <v>0</v>
      </c>
      <c r="N53" s="246">
        <v>0</v>
      </c>
      <c r="O53" s="246">
        <v>0</v>
      </c>
      <c r="P53" s="246">
        <v>0</v>
      </c>
      <c r="Q53" s="246">
        <v>0</v>
      </c>
      <c r="R53" s="246">
        <v>0</v>
      </c>
      <c r="S53" s="246">
        <v>0</v>
      </c>
      <c r="T53" s="246">
        <v>0</v>
      </c>
      <c r="U53" s="246">
        <v>0</v>
      </c>
      <c r="V53" s="246">
        <v>0</v>
      </c>
      <c r="W53" s="246">
        <v>0</v>
      </c>
      <c r="X53" s="246">
        <v>0</v>
      </c>
      <c r="Y53" s="246">
        <v>0</v>
      </c>
    </row>
    <row r="54" spans="5:43" x14ac:dyDescent="0.35">
      <c r="F54" s="28" t="s">
        <v>184</v>
      </c>
      <c r="G54" t="s">
        <v>176</v>
      </c>
      <c r="J54" s="242">
        <v>0</v>
      </c>
      <c r="K54" s="242">
        <v>0</v>
      </c>
      <c r="L54" s="242">
        <v>0</v>
      </c>
      <c r="M54" s="242">
        <v>0</v>
      </c>
      <c r="N54" s="242">
        <v>0</v>
      </c>
      <c r="O54" s="242">
        <v>0</v>
      </c>
      <c r="P54" s="242">
        <v>1</v>
      </c>
      <c r="Q54" s="242">
        <v>0</v>
      </c>
      <c r="R54" s="242">
        <v>0</v>
      </c>
      <c r="S54" s="242">
        <v>0</v>
      </c>
      <c r="T54" s="242">
        <v>0</v>
      </c>
      <c r="U54" s="242">
        <v>0</v>
      </c>
      <c r="V54" s="242">
        <v>0</v>
      </c>
      <c r="W54" s="242">
        <v>0</v>
      </c>
      <c r="X54" s="242">
        <v>1</v>
      </c>
      <c r="Y54" s="242">
        <v>1</v>
      </c>
    </row>
    <row r="55" spans="5:43" x14ac:dyDescent="0.35">
      <c r="F55" s="28" t="s">
        <v>185</v>
      </c>
      <c r="G55" t="s">
        <v>176</v>
      </c>
      <c r="J55" s="242">
        <v>0</v>
      </c>
      <c r="K55" s="242">
        <v>0</v>
      </c>
      <c r="L55" s="242">
        <v>0</v>
      </c>
      <c r="M55" s="242">
        <v>0</v>
      </c>
      <c r="N55" s="242">
        <v>0</v>
      </c>
      <c r="O55" s="242">
        <v>1</v>
      </c>
      <c r="P55" s="242">
        <v>0</v>
      </c>
      <c r="Q55" s="242">
        <v>0</v>
      </c>
      <c r="R55" s="242">
        <v>0</v>
      </c>
      <c r="S55" s="242">
        <v>1</v>
      </c>
      <c r="T55" s="242">
        <v>0</v>
      </c>
      <c r="U55" s="242">
        <v>0</v>
      </c>
      <c r="V55" s="242">
        <v>1</v>
      </c>
      <c r="W55" s="242">
        <v>1</v>
      </c>
      <c r="X55" s="242">
        <v>0</v>
      </c>
      <c r="Y55" s="242">
        <v>0</v>
      </c>
    </row>
    <row r="56" spans="5:43" x14ac:dyDescent="0.35">
      <c r="F56" s="67" t="s">
        <v>186</v>
      </c>
      <c r="G56" s="37" t="s">
        <v>176</v>
      </c>
      <c r="H56" s="37"/>
      <c r="I56" s="37"/>
      <c r="J56" s="247">
        <v>1</v>
      </c>
      <c r="K56" s="247">
        <v>1</v>
      </c>
      <c r="L56" s="247">
        <v>1</v>
      </c>
      <c r="M56" s="247">
        <v>1</v>
      </c>
      <c r="N56" s="247">
        <v>1</v>
      </c>
      <c r="O56" s="247">
        <v>0</v>
      </c>
      <c r="P56" s="247">
        <v>0</v>
      </c>
      <c r="Q56" s="247">
        <v>1</v>
      </c>
      <c r="R56" s="247">
        <v>1</v>
      </c>
      <c r="S56" s="247">
        <v>0</v>
      </c>
      <c r="T56" s="247">
        <v>1</v>
      </c>
      <c r="U56" s="247">
        <v>1</v>
      </c>
      <c r="V56" s="247">
        <v>0</v>
      </c>
      <c r="W56" s="247">
        <v>0</v>
      </c>
      <c r="X56" s="247">
        <v>0</v>
      </c>
      <c r="Y56" s="247">
        <v>0</v>
      </c>
    </row>
    <row r="57" spans="5:43" x14ac:dyDescent="0.35">
      <c r="H57" s="3"/>
      <c r="I57" s="3"/>
    </row>
    <row r="58" spans="5:43" x14ac:dyDescent="0.35">
      <c r="E58" s="32" t="s">
        <v>187</v>
      </c>
    </row>
    <row r="59" spans="5:43" x14ac:dyDescent="0.35">
      <c r="E59" s="29" t="s">
        <v>188</v>
      </c>
    </row>
    <row r="60" spans="5:43" x14ac:dyDescent="0.35">
      <c r="F60" s="23" t="s">
        <v>189</v>
      </c>
      <c r="G60" s="23" t="s">
        <v>190</v>
      </c>
      <c r="H60" s="23"/>
      <c r="I60" s="23"/>
      <c r="J60" s="246">
        <v>1</v>
      </c>
      <c r="K60" s="246">
        <v>1</v>
      </c>
      <c r="L60" s="246">
        <v>1</v>
      </c>
      <c r="M60" s="246">
        <v>1</v>
      </c>
      <c r="N60" s="246">
        <v>1</v>
      </c>
      <c r="O60" s="246">
        <v>1</v>
      </c>
      <c r="P60" s="246">
        <v>1</v>
      </c>
      <c r="Q60" s="246">
        <v>1</v>
      </c>
      <c r="R60" s="246">
        <v>-1</v>
      </c>
      <c r="S60" s="246">
        <v>-1</v>
      </c>
      <c r="T60" s="246">
        <v>-1</v>
      </c>
      <c r="U60" s="246">
        <v>-1</v>
      </c>
      <c r="V60" s="246">
        <v>-1</v>
      </c>
      <c r="W60" s="246">
        <v>-1</v>
      </c>
      <c r="X60" s="246">
        <v>-1</v>
      </c>
      <c r="Y60" s="246">
        <v>-1</v>
      </c>
    </row>
    <row r="61" spans="5:43" x14ac:dyDescent="0.35">
      <c r="F61" t="s">
        <v>191</v>
      </c>
      <c r="G61" t="s">
        <v>190</v>
      </c>
      <c r="J61" s="242">
        <v>1</v>
      </c>
      <c r="K61" s="242">
        <v>1</v>
      </c>
      <c r="L61" s="242">
        <v>1</v>
      </c>
      <c r="M61" s="242">
        <v>1</v>
      </c>
      <c r="N61" s="242">
        <v>1</v>
      </c>
      <c r="O61" s="242">
        <v>1</v>
      </c>
      <c r="P61" s="242">
        <v>1</v>
      </c>
      <c r="Q61" s="242">
        <v>1</v>
      </c>
      <c r="R61" s="242">
        <v>-1</v>
      </c>
      <c r="S61" s="242">
        <v>-1</v>
      </c>
      <c r="T61" s="242">
        <v>-1</v>
      </c>
      <c r="U61" s="242">
        <v>-1</v>
      </c>
      <c r="V61" s="242">
        <v>-1</v>
      </c>
      <c r="W61" s="242">
        <v>-1</v>
      </c>
      <c r="X61" s="242">
        <v>-1</v>
      </c>
      <c r="Y61" s="242">
        <v>-1</v>
      </c>
    </row>
    <row r="62" spans="5:43" x14ac:dyDescent="0.35">
      <c r="F62" t="s">
        <v>192</v>
      </c>
      <c r="G62" t="s">
        <v>190</v>
      </c>
      <c r="J62" s="242">
        <v>1</v>
      </c>
      <c r="K62" s="242">
        <v>1</v>
      </c>
      <c r="L62" s="242">
        <v>1</v>
      </c>
      <c r="M62" s="242">
        <v>1</v>
      </c>
      <c r="N62" s="242">
        <v>1</v>
      </c>
      <c r="O62" s="242">
        <v>1</v>
      </c>
      <c r="P62" s="242">
        <v>1</v>
      </c>
      <c r="Q62" s="242">
        <v>1</v>
      </c>
      <c r="R62" s="242">
        <v>-1</v>
      </c>
      <c r="S62" s="242">
        <v>-1</v>
      </c>
      <c r="T62" s="242">
        <v>-1</v>
      </c>
      <c r="U62" s="242">
        <v>-1</v>
      </c>
      <c r="V62" s="242">
        <v>-1</v>
      </c>
      <c r="W62" s="242">
        <v>-1</v>
      </c>
      <c r="X62" s="242">
        <v>-1</v>
      </c>
      <c r="Y62" s="242">
        <v>-1</v>
      </c>
    </row>
    <row r="63" spans="5:43" x14ac:dyDescent="0.35">
      <c r="F63" t="s">
        <v>193</v>
      </c>
      <c r="G63" t="s">
        <v>190</v>
      </c>
      <c r="J63" s="242">
        <v>1</v>
      </c>
      <c r="K63" s="242">
        <v>1</v>
      </c>
      <c r="L63" s="242">
        <v>1</v>
      </c>
      <c r="M63" s="242">
        <v>1</v>
      </c>
      <c r="N63" s="242">
        <v>1</v>
      </c>
      <c r="O63" s="242">
        <v>1</v>
      </c>
      <c r="P63" s="242">
        <v>1</v>
      </c>
      <c r="Q63" s="242">
        <v>1</v>
      </c>
      <c r="R63" s="242">
        <v>-1</v>
      </c>
      <c r="S63" s="242">
        <v>-1</v>
      </c>
      <c r="T63" s="242">
        <v>-1</v>
      </c>
      <c r="U63" s="242">
        <v>-1</v>
      </c>
      <c r="V63" s="242">
        <v>-1</v>
      </c>
      <c r="W63" s="242">
        <v>-1</v>
      </c>
      <c r="X63" s="242">
        <v>-1</v>
      </c>
      <c r="Y63" s="242">
        <v>-1</v>
      </c>
    </row>
    <row r="64" spans="5:43" x14ac:dyDescent="0.35">
      <c r="F64" t="s">
        <v>194</v>
      </c>
      <c r="G64" t="s">
        <v>190</v>
      </c>
      <c r="J64" s="242">
        <v>1</v>
      </c>
      <c r="K64" s="242">
        <v>1</v>
      </c>
      <c r="L64" s="242">
        <v>1</v>
      </c>
      <c r="M64" s="242">
        <v>1</v>
      </c>
      <c r="N64" s="242">
        <v>1</v>
      </c>
      <c r="O64" s="242">
        <v>1</v>
      </c>
      <c r="P64" s="242">
        <v>1</v>
      </c>
      <c r="Q64" s="242">
        <v>1</v>
      </c>
      <c r="R64" s="242">
        <v>-1</v>
      </c>
      <c r="S64" s="242">
        <v>-1</v>
      </c>
      <c r="T64" s="242">
        <v>-1</v>
      </c>
      <c r="U64" s="242">
        <v>-1</v>
      </c>
      <c r="V64" s="242">
        <v>-1</v>
      </c>
      <c r="W64" s="242">
        <v>-1</v>
      </c>
      <c r="X64" s="242">
        <v>-1</v>
      </c>
      <c r="Y64" s="242">
        <v>-1</v>
      </c>
    </row>
    <row r="65" spans="5:43" x14ac:dyDescent="0.35">
      <c r="F65" t="s">
        <v>195</v>
      </c>
      <c r="G65" t="s">
        <v>190</v>
      </c>
      <c r="J65" s="242">
        <v>1</v>
      </c>
      <c r="K65" s="242">
        <v>1</v>
      </c>
      <c r="L65" s="242">
        <v>1</v>
      </c>
      <c r="M65" s="242">
        <v>1</v>
      </c>
      <c r="N65" s="242">
        <v>1</v>
      </c>
      <c r="O65" s="242">
        <v>1</v>
      </c>
      <c r="P65" s="242">
        <v>1</v>
      </c>
      <c r="Q65" s="242">
        <v>1</v>
      </c>
      <c r="R65" s="242">
        <v>-1</v>
      </c>
      <c r="S65" s="242">
        <v>-1</v>
      </c>
      <c r="T65" s="242">
        <v>-1</v>
      </c>
      <c r="U65" s="242">
        <v>-1</v>
      </c>
      <c r="V65" s="242">
        <v>-1</v>
      </c>
      <c r="W65" s="242">
        <v>-1</v>
      </c>
      <c r="X65" s="242">
        <v>-1</v>
      </c>
      <c r="Y65" s="242">
        <v>-1</v>
      </c>
    </row>
    <row r="66" spans="5:43" x14ac:dyDescent="0.35">
      <c r="F66" t="s">
        <v>196</v>
      </c>
      <c r="G66" t="s">
        <v>190</v>
      </c>
      <c r="J66" s="242">
        <v>1</v>
      </c>
      <c r="K66" s="242">
        <v>1</v>
      </c>
      <c r="L66" s="242">
        <v>1</v>
      </c>
      <c r="M66" s="242">
        <v>1</v>
      </c>
      <c r="N66" s="242">
        <v>1</v>
      </c>
      <c r="O66" s="242">
        <v>1</v>
      </c>
      <c r="P66" s="242">
        <v>1</v>
      </c>
      <c r="Q66" s="242">
        <v>1</v>
      </c>
      <c r="R66" s="242">
        <v>-1</v>
      </c>
      <c r="S66" s="242">
        <v>-1</v>
      </c>
      <c r="T66" s="242">
        <v>-1</v>
      </c>
      <c r="U66" s="242">
        <v>-1</v>
      </c>
      <c r="V66" s="242">
        <v>-1</v>
      </c>
      <c r="W66" s="242">
        <v>-1</v>
      </c>
      <c r="X66" s="242">
        <v>-1</v>
      </c>
      <c r="Y66" s="242">
        <v>-1</v>
      </c>
    </row>
    <row r="67" spans="5:43" x14ac:dyDescent="0.35">
      <c r="F67" t="s">
        <v>197</v>
      </c>
      <c r="G67" t="s">
        <v>190</v>
      </c>
      <c r="J67" s="242">
        <v>1</v>
      </c>
      <c r="K67" s="242">
        <v>1</v>
      </c>
      <c r="L67" s="242">
        <v>1</v>
      </c>
      <c r="M67" s="242">
        <v>1</v>
      </c>
      <c r="N67" s="242">
        <v>1</v>
      </c>
      <c r="O67" s="242">
        <v>1</v>
      </c>
      <c r="P67" s="242">
        <v>1</v>
      </c>
      <c r="Q67" s="242">
        <v>1</v>
      </c>
      <c r="R67" s="242">
        <v>-1</v>
      </c>
      <c r="S67" s="242">
        <v>-1</v>
      </c>
      <c r="T67" s="242">
        <v>-1</v>
      </c>
      <c r="U67" s="242">
        <v>-1</v>
      </c>
      <c r="V67" s="242">
        <v>-1</v>
      </c>
      <c r="W67" s="242">
        <v>-1</v>
      </c>
      <c r="X67" s="242">
        <v>-1</v>
      </c>
      <c r="Y67" s="242">
        <v>-1</v>
      </c>
    </row>
    <row r="68" spans="5:43" x14ac:dyDescent="0.35">
      <c r="F68" t="s">
        <v>198</v>
      </c>
      <c r="G68" t="s">
        <v>190</v>
      </c>
      <c r="J68" s="242">
        <v>1</v>
      </c>
      <c r="K68" s="242">
        <v>1</v>
      </c>
      <c r="L68" s="242">
        <v>1</v>
      </c>
      <c r="M68" s="242">
        <v>1</v>
      </c>
      <c r="N68" s="242">
        <v>1</v>
      </c>
      <c r="O68" s="242">
        <v>1</v>
      </c>
      <c r="P68" s="242">
        <v>0</v>
      </c>
      <c r="Q68" s="242">
        <v>1</v>
      </c>
      <c r="R68" s="242">
        <v>-1</v>
      </c>
      <c r="S68" s="242">
        <v>-1</v>
      </c>
      <c r="T68" s="242">
        <v>-1</v>
      </c>
      <c r="U68" s="242">
        <v>-1</v>
      </c>
      <c r="V68" s="242">
        <v>-1</v>
      </c>
      <c r="W68" s="242">
        <v>-1</v>
      </c>
      <c r="X68" s="242">
        <v>0</v>
      </c>
      <c r="Y68" s="242">
        <v>0</v>
      </c>
    </row>
    <row r="69" spans="5:43" x14ac:dyDescent="0.35">
      <c r="F69" s="37" t="s">
        <v>199</v>
      </c>
      <c r="G69" s="37" t="s">
        <v>190</v>
      </c>
      <c r="H69" s="37"/>
      <c r="I69" s="37"/>
      <c r="J69" s="247">
        <v>1</v>
      </c>
      <c r="K69" s="247">
        <v>1</v>
      </c>
      <c r="L69" s="247">
        <v>1</v>
      </c>
      <c r="M69" s="247">
        <v>1</v>
      </c>
      <c r="N69" s="247">
        <v>1</v>
      </c>
      <c r="O69" s="247">
        <v>0</v>
      </c>
      <c r="P69" s="247">
        <v>0</v>
      </c>
      <c r="Q69" s="247">
        <v>1</v>
      </c>
      <c r="R69" s="247">
        <v>-1</v>
      </c>
      <c r="S69" s="247">
        <v>0</v>
      </c>
      <c r="T69" s="247">
        <v>-1</v>
      </c>
      <c r="U69" s="247">
        <v>-1</v>
      </c>
      <c r="V69" s="247">
        <v>0</v>
      </c>
      <c r="W69" s="247">
        <v>0</v>
      </c>
      <c r="X69" s="247">
        <v>0</v>
      </c>
      <c r="Y69" s="247">
        <v>0</v>
      </c>
    </row>
    <row r="71" spans="5:43" x14ac:dyDescent="0.35">
      <c r="E71" s="32" t="s">
        <v>200</v>
      </c>
      <c r="I71" t="s">
        <v>154</v>
      </c>
      <c r="AQ71" s="3" t="s">
        <v>201</v>
      </c>
    </row>
    <row r="72" spans="5:43" x14ac:dyDescent="0.35">
      <c r="E72" s="29" t="s">
        <v>202</v>
      </c>
    </row>
    <row r="73" spans="5:43" x14ac:dyDescent="0.35">
      <c r="E73" s="29"/>
      <c r="F73" s="23" t="s">
        <v>189</v>
      </c>
      <c r="G73" s="23" t="s">
        <v>190</v>
      </c>
      <c r="H73" s="23"/>
      <c r="I73" s="23"/>
      <c r="J73" s="246">
        <v>1</v>
      </c>
      <c r="K73" s="246">
        <v>1</v>
      </c>
      <c r="L73" s="246">
        <v>1</v>
      </c>
      <c r="M73" s="246">
        <v>1</v>
      </c>
      <c r="N73" s="246">
        <v>1</v>
      </c>
      <c r="O73" s="246">
        <v>1</v>
      </c>
      <c r="P73" s="246">
        <v>1</v>
      </c>
      <c r="Q73" s="246">
        <v>1</v>
      </c>
      <c r="R73" s="246">
        <v>-1</v>
      </c>
      <c r="S73" s="246">
        <v>-1</v>
      </c>
      <c r="T73" s="246">
        <v>-1</v>
      </c>
      <c r="U73" s="246">
        <v>-1</v>
      </c>
      <c r="V73" s="246">
        <v>-1</v>
      </c>
      <c r="W73" s="246">
        <v>-1</v>
      </c>
      <c r="X73" s="246">
        <v>-1</v>
      </c>
      <c r="Y73" s="246">
        <v>-1</v>
      </c>
    </row>
    <row r="74" spans="5:43" x14ac:dyDescent="0.35">
      <c r="E74" s="29"/>
      <c r="F74" t="s">
        <v>191</v>
      </c>
      <c r="G74" t="s">
        <v>190</v>
      </c>
      <c r="J74" s="242">
        <v>1</v>
      </c>
      <c r="K74" s="242">
        <v>1</v>
      </c>
      <c r="L74" s="242">
        <v>1</v>
      </c>
      <c r="M74" s="242">
        <v>1</v>
      </c>
      <c r="N74" s="242">
        <v>1</v>
      </c>
      <c r="O74" s="242">
        <v>1</v>
      </c>
      <c r="P74" s="242">
        <v>1</v>
      </c>
      <c r="Q74" s="242">
        <v>1</v>
      </c>
      <c r="R74" s="242">
        <v>-1</v>
      </c>
      <c r="S74" s="242">
        <v>-1</v>
      </c>
      <c r="T74" s="242">
        <v>-1</v>
      </c>
      <c r="U74" s="242">
        <v>-1</v>
      </c>
      <c r="V74" s="242">
        <v>-1</v>
      </c>
      <c r="W74" s="242">
        <v>-1</v>
      </c>
      <c r="X74" s="242">
        <v>-1</v>
      </c>
      <c r="Y74" s="242">
        <v>-1</v>
      </c>
    </row>
    <row r="75" spans="5:43" x14ac:dyDescent="0.35">
      <c r="E75" s="29"/>
      <c r="F75" t="s">
        <v>192</v>
      </c>
      <c r="G75" t="s">
        <v>190</v>
      </c>
      <c r="J75" s="242">
        <v>1</v>
      </c>
      <c r="K75" s="242">
        <v>1</v>
      </c>
      <c r="L75" s="242">
        <v>1</v>
      </c>
      <c r="M75" s="242">
        <v>1</v>
      </c>
      <c r="N75" s="242">
        <v>1</v>
      </c>
      <c r="O75" s="242">
        <v>1</v>
      </c>
      <c r="P75" s="242">
        <v>1</v>
      </c>
      <c r="Q75" s="242">
        <v>1</v>
      </c>
      <c r="R75" s="242">
        <v>-1</v>
      </c>
      <c r="S75" s="242">
        <v>-1</v>
      </c>
      <c r="T75" s="242">
        <v>-1</v>
      </c>
      <c r="U75" s="242">
        <v>-1</v>
      </c>
      <c r="V75" s="242">
        <v>-1</v>
      </c>
      <c r="W75" s="242">
        <v>-1</v>
      </c>
      <c r="X75" s="242">
        <v>-1</v>
      </c>
      <c r="Y75" s="242">
        <v>-1</v>
      </c>
    </row>
    <row r="76" spans="5:43" x14ac:dyDescent="0.35">
      <c r="E76" s="29"/>
      <c r="F76" t="s">
        <v>193</v>
      </c>
      <c r="G76" t="s">
        <v>190</v>
      </c>
      <c r="J76" s="242">
        <v>1</v>
      </c>
      <c r="K76" s="242">
        <v>1</v>
      </c>
      <c r="L76" s="242">
        <v>1</v>
      </c>
      <c r="M76" s="242">
        <v>1</v>
      </c>
      <c r="N76" s="242">
        <v>1</v>
      </c>
      <c r="O76" s="242">
        <v>1</v>
      </c>
      <c r="P76" s="242">
        <v>1</v>
      </c>
      <c r="Q76" s="242">
        <v>1</v>
      </c>
      <c r="R76" s="242">
        <v>-1</v>
      </c>
      <c r="S76" s="242">
        <v>-1</v>
      </c>
      <c r="T76" s="242">
        <v>-1</v>
      </c>
      <c r="U76" s="242">
        <v>-1</v>
      </c>
      <c r="V76" s="242">
        <v>-1</v>
      </c>
      <c r="W76" s="242">
        <v>-1</v>
      </c>
      <c r="X76" s="242">
        <v>-1</v>
      </c>
      <c r="Y76" s="242">
        <v>-1</v>
      </c>
    </row>
    <row r="77" spans="5:43" x14ac:dyDescent="0.35">
      <c r="E77" s="29"/>
      <c r="F77" t="s">
        <v>194</v>
      </c>
      <c r="G77" t="s">
        <v>190</v>
      </c>
      <c r="J77" s="242">
        <v>1</v>
      </c>
      <c r="K77" s="242">
        <v>1</v>
      </c>
      <c r="L77" s="242">
        <v>1</v>
      </c>
      <c r="M77" s="242">
        <v>1</v>
      </c>
      <c r="N77" s="242">
        <v>1</v>
      </c>
      <c r="O77" s="242">
        <v>1</v>
      </c>
      <c r="P77" s="242">
        <v>1</v>
      </c>
      <c r="Q77" s="242">
        <v>1</v>
      </c>
      <c r="R77" s="242">
        <v>-1</v>
      </c>
      <c r="S77" s="242">
        <v>-1</v>
      </c>
      <c r="T77" s="242">
        <v>-1</v>
      </c>
      <c r="U77" s="242">
        <v>-1</v>
      </c>
      <c r="V77" s="242">
        <v>-1</v>
      </c>
      <c r="W77" s="242">
        <v>-1</v>
      </c>
      <c r="X77" s="242">
        <v>-1</v>
      </c>
      <c r="Y77" s="242">
        <v>-1</v>
      </c>
    </row>
    <row r="78" spans="5:43" x14ac:dyDescent="0.35">
      <c r="E78" s="29"/>
      <c r="F78" t="s">
        <v>195</v>
      </c>
      <c r="G78" t="s">
        <v>190</v>
      </c>
      <c r="J78" s="242">
        <v>1</v>
      </c>
      <c r="K78" s="242">
        <v>1</v>
      </c>
      <c r="L78" s="242">
        <v>1</v>
      </c>
      <c r="M78" s="242">
        <v>1</v>
      </c>
      <c r="N78" s="242">
        <v>1</v>
      </c>
      <c r="O78" s="242">
        <v>1</v>
      </c>
      <c r="P78" s="242">
        <v>1</v>
      </c>
      <c r="Q78" s="242">
        <v>1</v>
      </c>
      <c r="R78" s="242">
        <v>-1</v>
      </c>
      <c r="S78" s="242">
        <v>-1</v>
      </c>
      <c r="T78" s="242">
        <v>-1</v>
      </c>
      <c r="U78" s="242">
        <v>-1</v>
      </c>
      <c r="V78" s="242">
        <v>-1</v>
      </c>
      <c r="W78" s="242">
        <v>-1</v>
      </c>
      <c r="X78" s="242">
        <v>-1</v>
      </c>
      <c r="Y78" s="242">
        <v>-1</v>
      </c>
    </row>
    <row r="79" spans="5:43" x14ac:dyDescent="0.35">
      <c r="E79" s="29"/>
      <c r="F79" t="s">
        <v>196</v>
      </c>
      <c r="G79" t="s">
        <v>190</v>
      </c>
      <c r="J79" s="242">
        <v>1</v>
      </c>
      <c r="K79" s="242">
        <v>1</v>
      </c>
      <c r="L79" s="242">
        <v>1</v>
      </c>
      <c r="M79" s="242">
        <v>1</v>
      </c>
      <c r="N79" s="242">
        <v>1</v>
      </c>
      <c r="O79" s="242">
        <v>1</v>
      </c>
      <c r="P79" s="242">
        <v>1</v>
      </c>
      <c r="Q79" s="242">
        <v>1</v>
      </c>
      <c r="R79" s="242">
        <v>-1</v>
      </c>
      <c r="S79" s="242">
        <v>-1</v>
      </c>
      <c r="T79" s="242">
        <v>-1</v>
      </c>
      <c r="U79" s="242">
        <v>-1</v>
      </c>
      <c r="V79" s="242">
        <v>-1</v>
      </c>
      <c r="W79" s="242">
        <v>-1</v>
      </c>
      <c r="X79" s="242">
        <v>-1</v>
      </c>
      <c r="Y79" s="242">
        <v>-1</v>
      </c>
    </row>
    <row r="80" spans="5:43" x14ac:dyDescent="0.35">
      <c r="E80" s="29"/>
      <c r="F80" t="s">
        <v>197</v>
      </c>
      <c r="G80" t="s">
        <v>190</v>
      </c>
      <c r="J80" s="242">
        <v>1</v>
      </c>
      <c r="K80" s="242">
        <v>1</v>
      </c>
      <c r="L80" s="242">
        <v>1</v>
      </c>
      <c r="M80" s="242">
        <v>1</v>
      </c>
      <c r="N80" s="242">
        <v>1</v>
      </c>
      <c r="O80" s="242">
        <v>1</v>
      </c>
      <c r="P80" s="242">
        <v>1</v>
      </c>
      <c r="Q80" s="242">
        <v>1</v>
      </c>
      <c r="R80" s="242">
        <v>-1</v>
      </c>
      <c r="S80" s="242">
        <v>-1</v>
      </c>
      <c r="T80" s="242">
        <v>-1</v>
      </c>
      <c r="U80" s="242">
        <v>-1</v>
      </c>
      <c r="V80" s="242">
        <v>-1</v>
      </c>
      <c r="W80" s="242">
        <v>-1</v>
      </c>
      <c r="X80" s="242">
        <v>0</v>
      </c>
      <c r="Y80" s="242">
        <v>0</v>
      </c>
    </row>
    <row r="81" spans="3:43" x14ac:dyDescent="0.35">
      <c r="E81" s="29"/>
      <c r="F81" t="s">
        <v>198</v>
      </c>
      <c r="G81" t="s">
        <v>190</v>
      </c>
      <c r="J81" s="242">
        <v>1</v>
      </c>
      <c r="K81" s="242">
        <v>1</v>
      </c>
      <c r="L81" s="242">
        <v>1</v>
      </c>
      <c r="M81" s="242">
        <v>1</v>
      </c>
      <c r="N81" s="242">
        <v>1</v>
      </c>
      <c r="O81" s="242">
        <v>1</v>
      </c>
      <c r="P81" s="242">
        <v>0</v>
      </c>
      <c r="Q81" s="242">
        <v>1</v>
      </c>
      <c r="R81" s="242">
        <v>-1</v>
      </c>
      <c r="S81" s="242">
        <v>0</v>
      </c>
      <c r="T81" s="242">
        <v>-1</v>
      </c>
      <c r="U81" s="242">
        <v>-1</v>
      </c>
      <c r="V81" s="242">
        <v>0</v>
      </c>
      <c r="W81" s="242">
        <v>0</v>
      </c>
      <c r="X81" s="242">
        <v>0</v>
      </c>
      <c r="Y81" s="242">
        <v>0</v>
      </c>
    </row>
    <row r="82" spans="3:43" x14ac:dyDescent="0.35">
      <c r="E82" s="29"/>
      <c r="F82" s="37" t="s">
        <v>199</v>
      </c>
      <c r="G82" s="37" t="s">
        <v>190</v>
      </c>
      <c r="H82" s="37"/>
      <c r="I82" s="37"/>
      <c r="J82" s="247">
        <v>1</v>
      </c>
      <c r="K82" s="247">
        <v>1</v>
      </c>
      <c r="L82" s="247">
        <v>1</v>
      </c>
      <c r="M82" s="247">
        <v>1</v>
      </c>
      <c r="N82" s="247">
        <v>1</v>
      </c>
      <c r="O82" s="247">
        <v>0</v>
      </c>
      <c r="P82" s="247">
        <v>0</v>
      </c>
      <c r="Q82" s="247">
        <v>1</v>
      </c>
      <c r="R82" s="247">
        <v>0</v>
      </c>
      <c r="S82" s="247">
        <v>0</v>
      </c>
      <c r="T82" s="247">
        <v>0</v>
      </c>
      <c r="U82" s="247">
        <v>0</v>
      </c>
      <c r="V82" s="247">
        <v>0</v>
      </c>
      <c r="W82" s="247">
        <v>0</v>
      </c>
      <c r="X82" s="247">
        <v>0</v>
      </c>
      <c r="Y82" s="247">
        <v>0</v>
      </c>
    </row>
    <row r="84" spans="3:43" x14ac:dyDescent="0.3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6" spans="3:43" x14ac:dyDescent="0.35">
      <c r="E86" s="32" t="s">
        <v>120</v>
      </c>
      <c r="F86" s="32"/>
      <c r="I86" t="s">
        <v>154</v>
      </c>
      <c r="AQ86" t="s">
        <v>203</v>
      </c>
    </row>
    <row r="87" spans="3:43" x14ac:dyDescent="0.35">
      <c r="E87" s="29" t="s">
        <v>863</v>
      </c>
      <c r="F87" s="29"/>
    </row>
    <row r="88" spans="3:43" x14ac:dyDescent="0.35">
      <c r="E88" s="29"/>
      <c r="F88" s="23" t="s">
        <v>189</v>
      </c>
      <c r="G88" s="23" t="s">
        <v>167</v>
      </c>
      <c r="H88" s="23"/>
      <c r="I88" s="23"/>
      <c r="J88" s="65"/>
      <c r="K88" s="65"/>
      <c r="L88" s="65"/>
      <c r="M88" s="65"/>
      <c r="N88" s="65"/>
      <c r="O88" s="65"/>
      <c r="P88" s="65"/>
      <c r="Q88" s="65"/>
      <c r="R88" s="65"/>
      <c r="S88" s="65"/>
      <c r="T88" s="65"/>
      <c r="U88" s="65"/>
      <c r="V88" s="65"/>
      <c r="W88" s="65"/>
      <c r="X88" s="65"/>
      <c r="Y88" s="65"/>
    </row>
    <row r="89" spans="3:43" x14ac:dyDescent="0.35">
      <c r="E89" s="29"/>
      <c r="F89" t="s">
        <v>191</v>
      </c>
      <c r="G89" t="s">
        <v>167</v>
      </c>
      <c r="J89" s="66"/>
      <c r="K89" s="66"/>
      <c r="L89" s="66"/>
      <c r="M89" s="66"/>
      <c r="N89" s="66"/>
      <c r="O89" s="66"/>
      <c r="P89" s="66"/>
      <c r="Q89" s="66"/>
      <c r="R89" s="66"/>
      <c r="S89" s="66"/>
      <c r="T89" s="66"/>
      <c r="U89" s="66"/>
      <c r="V89" s="66"/>
      <c r="W89" s="66"/>
      <c r="X89" s="66"/>
      <c r="Y89" s="66"/>
    </row>
    <row r="90" spans="3:43" x14ac:dyDescent="0.35">
      <c r="E90" s="29"/>
      <c r="F90" t="s">
        <v>192</v>
      </c>
      <c r="G90" t="s">
        <v>167</v>
      </c>
      <c r="J90" s="70"/>
      <c r="K90" s="70"/>
      <c r="L90" s="70"/>
      <c r="M90" s="70"/>
      <c r="N90" s="70"/>
      <c r="O90" s="70"/>
      <c r="P90" s="70"/>
      <c r="Q90" s="70"/>
      <c r="R90" s="66"/>
      <c r="S90" s="66"/>
      <c r="T90" s="66"/>
      <c r="U90" s="66"/>
      <c r="V90" s="66"/>
      <c r="W90" s="66"/>
      <c r="X90" s="66"/>
      <c r="Y90" s="66"/>
    </row>
    <row r="91" spans="3:43" x14ac:dyDescent="0.35">
      <c r="E91" s="29"/>
      <c r="F91" t="s">
        <v>193</v>
      </c>
      <c r="G91" t="s">
        <v>167</v>
      </c>
      <c r="J91" s="70"/>
      <c r="K91" s="70"/>
      <c r="L91" s="70"/>
      <c r="M91" s="70"/>
      <c r="N91" s="70"/>
      <c r="O91" s="70"/>
      <c r="P91" s="70"/>
      <c r="Q91" s="70"/>
      <c r="R91" s="66"/>
      <c r="S91" s="66"/>
      <c r="T91" s="66"/>
      <c r="U91" s="66"/>
      <c r="V91" s="66"/>
      <c r="W91" s="66"/>
      <c r="X91" s="66"/>
      <c r="Y91" s="66"/>
    </row>
    <row r="92" spans="3:43" x14ac:dyDescent="0.35">
      <c r="E92" s="29"/>
      <c r="F92" t="s">
        <v>194</v>
      </c>
      <c r="G92" t="s">
        <v>167</v>
      </c>
      <c r="J92" s="70"/>
      <c r="K92" s="70"/>
      <c r="L92" s="70"/>
      <c r="M92" s="70"/>
      <c r="N92" s="70"/>
      <c r="O92" s="70"/>
      <c r="P92" s="248">
        <v>0.2</v>
      </c>
      <c r="Q92" s="70"/>
      <c r="R92" s="66"/>
      <c r="S92" s="66"/>
      <c r="T92" s="66"/>
      <c r="U92" s="66"/>
      <c r="V92" s="66"/>
      <c r="W92" s="66"/>
      <c r="X92" s="66"/>
      <c r="Y92" s="66"/>
    </row>
    <row r="93" spans="3:43" x14ac:dyDescent="0.35">
      <c r="E93" s="29"/>
      <c r="F93" t="s">
        <v>195</v>
      </c>
      <c r="G93" t="s">
        <v>167</v>
      </c>
      <c r="J93" s="70"/>
      <c r="K93" s="70"/>
      <c r="L93" s="70"/>
      <c r="M93" s="70"/>
      <c r="N93" s="70"/>
      <c r="O93" s="70"/>
      <c r="P93" s="248">
        <v>1</v>
      </c>
      <c r="Q93" s="70"/>
      <c r="R93" s="66"/>
      <c r="S93" s="66"/>
      <c r="T93" s="66"/>
      <c r="U93" s="66"/>
      <c r="V93" s="66"/>
      <c r="W93" s="66"/>
      <c r="X93" s="66"/>
      <c r="Y93" s="66"/>
    </row>
    <row r="94" spans="3:43" x14ac:dyDescent="0.35">
      <c r="E94" s="29"/>
      <c r="F94" t="s">
        <v>196</v>
      </c>
      <c r="G94" t="s">
        <v>167</v>
      </c>
      <c r="J94" s="70"/>
      <c r="K94" s="70"/>
      <c r="L94" s="70"/>
      <c r="M94" s="70"/>
      <c r="N94" s="70"/>
      <c r="O94" s="70"/>
      <c r="P94" s="70"/>
      <c r="Q94" s="70"/>
      <c r="R94" s="66"/>
      <c r="S94" s="66"/>
      <c r="T94" s="66"/>
      <c r="U94" s="66"/>
      <c r="V94" s="66"/>
      <c r="W94" s="66"/>
      <c r="X94" s="66"/>
      <c r="Y94" s="66"/>
    </row>
    <row r="95" spans="3:43" x14ac:dyDescent="0.35">
      <c r="E95" s="29"/>
      <c r="F95" t="s">
        <v>197</v>
      </c>
      <c r="G95" t="s">
        <v>167</v>
      </c>
      <c r="J95" s="70"/>
      <c r="K95" s="70"/>
      <c r="L95" s="70"/>
      <c r="M95" s="70"/>
      <c r="N95" s="248">
        <v>0.2</v>
      </c>
      <c r="O95" s="248">
        <v>1</v>
      </c>
      <c r="P95" s="248">
        <v>1</v>
      </c>
      <c r="Q95" s="70"/>
      <c r="R95" s="66"/>
      <c r="S95" s="66"/>
      <c r="T95" s="66"/>
      <c r="U95" s="66"/>
      <c r="V95" s="66"/>
      <c r="W95" s="66"/>
      <c r="X95" s="66"/>
      <c r="Y95" s="66"/>
    </row>
    <row r="96" spans="3:43" x14ac:dyDescent="0.35">
      <c r="E96" s="29"/>
      <c r="F96" t="s">
        <v>198</v>
      </c>
      <c r="G96" t="s">
        <v>167</v>
      </c>
      <c r="J96" s="70"/>
      <c r="K96" s="70"/>
      <c r="L96" s="70"/>
      <c r="M96" s="70"/>
      <c r="N96" s="248">
        <v>1</v>
      </c>
      <c r="O96" s="248">
        <v>1</v>
      </c>
      <c r="P96" s="70"/>
      <c r="Q96" s="70"/>
      <c r="R96" s="66"/>
      <c r="S96" s="66"/>
      <c r="T96" s="66"/>
      <c r="U96" s="66"/>
      <c r="V96" s="66"/>
      <c r="W96" s="66"/>
      <c r="X96" s="66"/>
      <c r="Y96" s="66"/>
    </row>
    <row r="97" spans="3:43" x14ac:dyDescent="0.35">
      <c r="E97" s="29"/>
      <c r="F97" s="37" t="s">
        <v>199</v>
      </c>
      <c r="G97" s="37" t="s">
        <v>167</v>
      </c>
      <c r="H97" s="37"/>
      <c r="I97" s="37"/>
      <c r="J97" s="249">
        <v>1</v>
      </c>
      <c r="K97" s="249">
        <v>1</v>
      </c>
      <c r="L97" s="249">
        <v>1</v>
      </c>
      <c r="M97" s="249">
        <v>1</v>
      </c>
      <c r="N97" s="249">
        <v>1</v>
      </c>
      <c r="O97" s="71"/>
      <c r="P97" s="71"/>
      <c r="Q97" s="249">
        <v>0</v>
      </c>
      <c r="R97" s="68"/>
      <c r="S97" s="68"/>
      <c r="T97" s="68"/>
      <c r="U97" s="68"/>
      <c r="V97" s="68"/>
      <c r="W97" s="68"/>
      <c r="X97" s="68"/>
      <c r="Y97" s="68"/>
    </row>
    <row r="99" spans="3:43" x14ac:dyDescent="0.3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1" spans="3:43" x14ac:dyDescent="0.35">
      <c r="D101" s="32" t="s">
        <v>204</v>
      </c>
      <c r="E101" s="32"/>
    </row>
    <row r="102" spans="3:43" x14ac:dyDescent="0.35">
      <c r="D102" s="29" t="s">
        <v>205</v>
      </c>
      <c r="E102" s="29"/>
    </row>
    <row r="103" spans="3:43" x14ac:dyDescent="0.35">
      <c r="D103" s="29" t="s">
        <v>206</v>
      </c>
      <c r="E103" s="29"/>
    </row>
    <row r="104" spans="3:43" x14ac:dyDescent="0.35">
      <c r="D104" s="29"/>
      <c r="E104" s="32" t="s">
        <v>207</v>
      </c>
    </row>
    <row r="105" spans="3:43" x14ac:dyDescent="0.35">
      <c r="D105" s="29"/>
      <c r="F105" s="28" t="s">
        <v>208</v>
      </c>
      <c r="G105" t="s">
        <v>209</v>
      </c>
      <c r="I105" t="s">
        <v>154</v>
      </c>
      <c r="J105" s="250" t="b">
        <v>0</v>
      </c>
      <c r="K105" s="250" t="b">
        <v>0</v>
      </c>
      <c r="L105" s="250" t="b">
        <v>0</v>
      </c>
      <c r="M105" s="250" t="b">
        <v>0</v>
      </c>
      <c r="N105" s="250" t="b">
        <v>0</v>
      </c>
      <c r="O105" s="250" t="b">
        <v>0</v>
      </c>
      <c r="P105" s="250" t="b">
        <v>0</v>
      </c>
      <c r="Q105" s="250" t="b">
        <v>0</v>
      </c>
      <c r="R105" s="250" t="b">
        <v>1</v>
      </c>
      <c r="S105" s="250" t="b">
        <v>1</v>
      </c>
      <c r="T105" s="250" t="b">
        <v>1</v>
      </c>
      <c r="U105" s="250" t="b">
        <v>1</v>
      </c>
      <c r="V105" s="250" t="b">
        <v>1</v>
      </c>
      <c r="W105" s="250" t="b">
        <v>1</v>
      </c>
      <c r="X105" s="250" t="b">
        <v>1</v>
      </c>
      <c r="Y105" s="250" t="b">
        <v>1</v>
      </c>
      <c r="AQ105" t="s">
        <v>210</v>
      </c>
    </row>
    <row r="106" spans="3:43" x14ac:dyDescent="0.35">
      <c r="D106" s="29"/>
      <c r="E106" s="28"/>
      <c r="F106" s="28" t="s">
        <v>211</v>
      </c>
      <c r="G106" t="s">
        <v>167</v>
      </c>
      <c r="J106" s="70"/>
      <c r="K106" s="70"/>
      <c r="L106" s="70"/>
      <c r="M106" s="70"/>
      <c r="N106" s="70"/>
      <c r="O106" s="70"/>
      <c r="P106" s="70"/>
      <c r="Q106" s="70"/>
      <c r="R106" s="251">
        <v>0</v>
      </c>
      <c r="S106" s="251">
        <v>0</v>
      </c>
      <c r="T106" s="251">
        <v>0</v>
      </c>
      <c r="U106" s="251">
        <v>0</v>
      </c>
      <c r="V106" s="251">
        <v>0</v>
      </c>
      <c r="W106" s="251">
        <v>0</v>
      </c>
      <c r="X106" s="251">
        <v>0</v>
      </c>
      <c r="Y106" s="251">
        <v>0</v>
      </c>
    </row>
    <row r="107" spans="3:43" x14ac:dyDescent="0.35">
      <c r="D107" s="29"/>
      <c r="E107" s="28"/>
      <c r="F107" s="28"/>
      <c r="J107" s="14"/>
      <c r="K107" s="14"/>
      <c r="L107" s="14"/>
      <c r="M107" s="14"/>
      <c r="N107" s="14"/>
      <c r="O107" s="14"/>
      <c r="P107" s="14"/>
      <c r="Q107" s="14"/>
      <c r="R107" s="14"/>
      <c r="S107" s="14"/>
      <c r="T107" s="14"/>
      <c r="U107" s="14"/>
      <c r="V107" s="14"/>
      <c r="W107" s="14"/>
      <c r="X107" s="14"/>
      <c r="Y107" s="14"/>
    </row>
    <row r="108" spans="3:43" x14ac:dyDescent="0.35">
      <c r="D108" s="29"/>
      <c r="E108" s="32" t="s">
        <v>212</v>
      </c>
      <c r="F108" s="28"/>
      <c r="J108" s="14"/>
      <c r="K108" s="14"/>
      <c r="L108" s="14"/>
      <c r="M108" s="14"/>
      <c r="N108" s="14"/>
      <c r="O108" s="14"/>
      <c r="P108" s="14"/>
      <c r="Q108" s="14"/>
      <c r="R108" s="14"/>
      <c r="S108" s="14"/>
      <c r="T108" s="14"/>
      <c r="U108" s="14"/>
      <c r="V108" s="14"/>
      <c r="W108" s="14"/>
      <c r="X108" s="14"/>
      <c r="Y108" s="14"/>
    </row>
    <row r="109" spans="3:43" x14ac:dyDescent="0.35">
      <c r="D109" s="29"/>
      <c r="F109" s="28" t="s">
        <v>208</v>
      </c>
      <c r="G109" t="s">
        <v>209</v>
      </c>
      <c r="J109" s="250" t="b">
        <v>0</v>
      </c>
      <c r="K109" s="250" t="b">
        <v>0</v>
      </c>
      <c r="L109" s="250" t="b">
        <v>0</v>
      </c>
      <c r="M109" s="250" t="b">
        <v>0</v>
      </c>
      <c r="N109" s="250" t="b">
        <v>0</v>
      </c>
      <c r="O109" s="250" t="b">
        <v>0</v>
      </c>
      <c r="P109" s="250" t="b">
        <v>0</v>
      </c>
      <c r="Q109" s="250" t="b">
        <v>0</v>
      </c>
      <c r="R109" s="250" t="b">
        <v>1</v>
      </c>
      <c r="S109" s="250" t="b">
        <v>1</v>
      </c>
      <c r="T109" s="250" t="b">
        <v>1</v>
      </c>
      <c r="U109" s="250" t="b">
        <v>1</v>
      </c>
      <c r="V109" s="250" t="b">
        <v>1</v>
      </c>
      <c r="W109" s="250" t="b">
        <v>1</v>
      </c>
      <c r="X109" s="250" t="b">
        <v>1</v>
      </c>
      <c r="Y109" s="250" t="b">
        <v>1</v>
      </c>
    </row>
    <row r="110" spans="3:43" x14ac:dyDescent="0.35">
      <c r="D110" s="29"/>
      <c r="E110" s="28"/>
      <c r="F110" s="28" t="s">
        <v>211</v>
      </c>
      <c r="G110" t="s">
        <v>167</v>
      </c>
      <c r="J110" s="70"/>
      <c r="K110" s="70"/>
      <c r="L110" s="70"/>
      <c r="M110" s="70"/>
      <c r="N110" s="70"/>
      <c r="O110" s="70"/>
      <c r="P110" s="70"/>
      <c r="Q110" s="70"/>
      <c r="R110" s="251">
        <v>1</v>
      </c>
      <c r="S110" s="251">
        <v>1</v>
      </c>
      <c r="T110" s="251">
        <v>1</v>
      </c>
      <c r="U110" s="251">
        <v>1</v>
      </c>
      <c r="V110" s="251">
        <v>1</v>
      </c>
      <c r="W110" s="251">
        <v>1</v>
      </c>
      <c r="X110" s="251">
        <v>1</v>
      </c>
      <c r="Y110" s="251">
        <v>1</v>
      </c>
    </row>
    <row r="111" spans="3:43" x14ac:dyDescent="0.35">
      <c r="D111" s="29"/>
      <c r="E111" s="28"/>
      <c r="F111" s="28"/>
      <c r="J111" s="14"/>
      <c r="K111" s="14"/>
      <c r="L111" s="14"/>
      <c r="M111" s="14"/>
      <c r="N111" s="14"/>
      <c r="O111" s="14"/>
      <c r="P111" s="14"/>
      <c r="Q111" s="14"/>
      <c r="R111" s="14"/>
      <c r="S111" s="14"/>
      <c r="T111" s="14"/>
      <c r="U111" s="14"/>
      <c r="V111" s="14"/>
      <c r="W111" s="14"/>
      <c r="X111" s="14"/>
      <c r="Y111" s="14"/>
    </row>
    <row r="112" spans="3:43" x14ac:dyDescent="0.35">
      <c r="D112" s="29"/>
      <c r="E112" s="32" t="s">
        <v>213</v>
      </c>
      <c r="F112" s="28"/>
      <c r="J112" s="14"/>
      <c r="K112" s="14"/>
      <c r="L112" s="14"/>
      <c r="M112" s="14"/>
      <c r="N112" s="14"/>
      <c r="O112" s="14"/>
      <c r="P112" s="14"/>
      <c r="Q112" s="14"/>
      <c r="R112" s="14"/>
      <c r="S112" s="14"/>
      <c r="T112" s="14"/>
      <c r="U112" s="14"/>
      <c r="V112" s="14"/>
      <c r="W112" s="14"/>
      <c r="X112" s="14"/>
      <c r="Y112" s="14"/>
    </row>
    <row r="113" spans="4:25" x14ac:dyDescent="0.35">
      <c r="D113" s="29"/>
      <c r="F113" s="28" t="s">
        <v>208</v>
      </c>
      <c r="G113" t="s">
        <v>209</v>
      </c>
      <c r="J113" s="250" t="b">
        <v>0</v>
      </c>
      <c r="K113" s="250" t="b">
        <v>0</v>
      </c>
      <c r="L113" s="250" t="b">
        <v>0</v>
      </c>
      <c r="M113" s="250" t="b">
        <v>0</v>
      </c>
      <c r="N113" s="250" t="b">
        <v>0</v>
      </c>
      <c r="O113" s="250" t="b">
        <v>0</v>
      </c>
      <c r="P113" s="250" t="b">
        <v>0</v>
      </c>
      <c r="Q113" s="250" t="b">
        <v>0</v>
      </c>
      <c r="R113" s="250" t="b">
        <v>1</v>
      </c>
      <c r="S113" s="250" t="b">
        <v>1</v>
      </c>
      <c r="T113" s="250" t="b">
        <v>1</v>
      </c>
      <c r="U113" s="250" t="b">
        <v>1</v>
      </c>
      <c r="V113" s="250" t="b">
        <v>1</v>
      </c>
      <c r="W113" s="250" t="b">
        <v>1</v>
      </c>
      <c r="X113" s="250" t="b">
        <v>1</v>
      </c>
      <c r="Y113" s="250" t="b">
        <v>1</v>
      </c>
    </row>
    <row r="114" spans="4:25" x14ac:dyDescent="0.35">
      <c r="D114" s="29"/>
      <c r="E114" s="28"/>
      <c r="F114" s="28" t="s">
        <v>211</v>
      </c>
      <c r="G114" t="s">
        <v>167</v>
      </c>
      <c r="J114" s="70"/>
      <c r="K114" s="70"/>
      <c r="L114" s="70"/>
      <c r="M114" s="70"/>
      <c r="N114" s="70"/>
      <c r="O114" s="70"/>
      <c r="P114" s="70"/>
      <c r="Q114" s="70"/>
      <c r="R114" s="251">
        <v>0</v>
      </c>
      <c r="S114" s="251">
        <v>0</v>
      </c>
      <c r="T114" s="251">
        <v>0</v>
      </c>
      <c r="U114" s="251">
        <v>0</v>
      </c>
      <c r="V114" s="251">
        <v>0</v>
      </c>
      <c r="W114" s="251">
        <v>0</v>
      </c>
      <c r="X114" s="251">
        <v>0</v>
      </c>
      <c r="Y114" s="251">
        <v>0</v>
      </c>
    </row>
    <row r="115" spans="4:25" x14ac:dyDescent="0.35">
      <c r="D115" s="29"/>
      <c r="E115" s="28"/>
      <c r="F115" s="28"/>
      <c r="J115" s="14"/>
      <c r="K115" s="14"/>
      <c r="L115" s="14"/>
      <c r="M115" s="14"/>
      <c r="N115" s="14"/>
      <c r="O115" s="14"/>
      <c r="P115" s="14"/>
      <c r="Q115" s="14"/>
      <c r="R115" s="14"/>
      <c r="S115" s="14"/>
      <c r="T115" s="14"/>
      <c r="U115" s="14"/>
      <c r="V115" s="14"/>
      <c r="W115" s="14"/>
      <c r="X115" s="14"/>
      <c r="Y115" s="14"/>
    </row>
    <row r="116" spans="4:25" x14ac:dyDescent="0.35">
      <c r="D116" s="29"/>
      <c r="E116" s="32" t="s">
        <v>214</v>
      </c>
      <c r="F116" s="28"/>
      <c r="J116" s="14"/>
      <c r="K116" s="14"/>
      <c r="L116" s="14"/>
      <c r="M116" s="14"/>
      <c r="N116" s="14"/>
      <c r="O116" s="14"/>
      <c r="P116" s="14"/>
      <c r="Q116" s="14"/>
      <c r="R116" s="14"/>
      <c r="S116" s="14"/>
      <c r="T116" s="14"/>
      <c r="U116" s="14"/>
      <c r="V116" s="14"/>
      <c r="W116" s="14"/>
      <c r="X116" s="14"/>
      <c r="Y116" s="14"/>
    </row>
    <row r="117" spans="4:25" x14ac:dyDescent="0.35">
      <c r="D117" s="29"/>
      <c r="F117" s="28" t="s">
        <v>208</v>
      </c>
      <c r="G117" t="s">
        <v>209</v>
      </c>
      <c r="J117" s="250" t="b">
        <v>0</v>
      </c>
      <c r="K117" s="250" t="b">
        <v>0</v>
      </c>
      <c r="L117" s="250" t="b">
        <v>0</v>
      </c>
      <c r="M117" s="250" t="b">
        <v>0</v>
      </c>
      <c r="N117" s="250" t="b">
        <v>0</v>
      </c>
      <c r="O117" s="250" t="b">
        <v>0</v>
      </c>
      <c r="P117" s="250" t="b">
        <v>0</v>
      </c>
      <c r="Q117" s="250" t="b">
        <v>0</v>
      </c>
      <c r="R117" s="250" t="b">
        <v>1</v>
      </c>
      <c r="S117" s="250" t="b">
        <v>1</v>
      </c>
      <c r="T117" s="250" t="b">
        <v>1</v>
      </c>
      <c r="U117" s="250" t="b">
        <v>1</v>
      </c>
      <c r="V117" s="250" t="b">
        <v>1</v>
      </c>
      <c r="W117" s="250" t="b">
        <v>1</v>
      </c>
      <c r="X117" s="250" t="b">
        <v>1</v>
      </c>
      <c r="Y117" s="250" t="b">
        <v>1</v>
      </c>
    </row>
    <row r="118" spans="4:25" x14ac:dyDescent="0.35">
      <c r="D118" s="29"/>
      <c r="E118" s="28"/>
      <c r="F118" s="28" t="s">
        <v>211</v>
      </c>
      <c r="G118" t="s">
        <v>167</v>
      </c>
      <c r="J118" s="70"/>
      <c r="K118" s="70"/>
      <c r="L118" s="70"/>
      <c r="M118" s="70"/>
      <c r="N118" s="70"/>
      <c r="O118" s="70"/>
      <c r="P118" s="70"/>
      <c r="Q118" s="70"/>
      <c r="R118" s="251">
        <v>0</v>
      </c>
      <c r="S118" s="251">
        <v>0</v>
      </c>
      <c r="T118" s="251">
        <v>0</v>
      </c>
      <c r="U118" s="251">
        <v>0</v>
      </c>
      <c r="V118" s="251">
        <v>0</v>
      </c>
      <c r="W118" s="251">
        <v>0</v>
      </c>
      <c r="X118" s="251">
        <v>0</v>
      </c>
      <c r="Y118" s="251">
        <v>0</v>
      </c>
    </row>
    <row r="119" spans="4:25" x14ac:dyDescent="0.35">
      <c r="D119" s="29"/>
      <c r="E119" s="28"/>
      <c r="F119" s="28"/>
      <c r="J119" s="14"/>
      <c r="K119" s="14"/>
      <c r="L119" s="14"/>
      <c r="M119" s="14"/>
      <c r="N119" s="14"/>
      <c r="O119" s="14"/>
      <c r="P119" s="14"/>
      <c r="Q119" s="14"/>
      <c r="R119" s="14"/>
      <c r="S119" s="14"/>
      <c r="T119" s="14"/>
      <c r="U119" s="14"/>
      <c r="V119" s="14"/>
      <c r="W119" s="14"/>
      <c r="X119" s="14"/>
      <c r="Y119" s="14"/>
    </row>
    <row r="120" spans="4:25" x14ac:dyDescent="0.35">
      <c r="D120" s="29"/>
      <c r="E120" s="32" t="s">
        <v>215</v>
      </c>
      <c r="F120" s="28"/>
      <c r="J120" s="14"/>
      <c r="K120" s="14"/>
      <c r="L120" s="14"/>
      <c r="M120" s="14"/>
      <c r="N120" s="14"/>
      <c r="O120" s="14"/>
      <c r="P120" s="14"/>
      <c r="Q120" s="14"/>
      <c r="R120" s="14"/>
      <c r="S120" s="14"/>
      <c r="T120" s="14"/>
      <c r="U120" s="14"/>
      <c r="V120" s="14"/>
      <c r="W120" s="14"/>
      <c r="X120" s="14"/>
      <c r="Y120" s="14"/>
    </row>
    <row r="121" spans="4:25" x14ac:dyDescent="0.35">
      <c r="D121" s="29"/>
      <c r="F121" s="28" t="s">
        <v>208</v>
      </c>
      <c r="G121" t="s">
        <v>209</v>
      </c>
      <c r="J121" s="250" t="b">
        <v>0</v>
      </c>
      <c r="K121" s="250" t="b">
        <v>0</v>
      </c>
      <c r="L121" s="250" t="b">
        <v>0</v>
      </c>
      <c r="M121" s="250" t="b">
        <v>0</v>
      </c>
      <c r="N121" s="250" t="b">
        <v>0</v>
      </c>
      <c r="O121" s="250" t="b">
        <v>0</v>
      </c>
      <c r="P121" s="250" t="b">
        <v>0</v>
      </c>
      <c r="Q121" s="250" t="b">
        <v>0</v>
      </c>
      <c r="R121" s="250" t="b">
        <v>1</v>
      </c>
      <c r="S121" s="250" t="b">
        <v>1</v>
      </c>
      <c r="T121" s="250" t="b">
        <v>1</v>
      </c>
      <c r="U121" s="250" t="b">
        <v>1</v>
      </c>
      <c r="V121" s="250" t="b">
        <v>1</v>
      </c>
      <c r="W121" s="250" t="b">
        <v>1</v>
      </c>
      <c r="X121" s="250" t="b">
        <v>1</v>
      </c>
      <c r="Y121" s="250" t="b">
        <v>1</v>
      </c>
    </row>
    <row r="122" spans="4:25" x14ac:dyDescent="0.35">
      <c r="D122" s="29"/>
      <c r="E122" s="28"/>
      <c r="F122" s="28" t="s">
        <v>211</v>
      </c>
      <c r="G122" t="s">
        <v>167</v>
      </c>
      <c r="J122" s="70"/>
      <c r="K122" s="70"/>
      <c r="L122" s="70"/>
      <c r="M122" s="70"/>
      <c r="N122" s="70"/>
      <c r="O122" s="70"/>
      <c r="P122" s="70"/>
      <c r="Q122" s="70"/>
      <c r="R122" s="251">
        <v>0</v>
      </c>
      <c r="S122" s="251">
        <v>0</v>
      </c>
      <c r="T122" s="251">
        <v>0</v>
      </c>
      <c r="U122" s="251">
        <v>0</v>
      </c>
      <c r="V122" s="251">
        <v>0</v>
      </c>
      <c r="W122" s="251">
        <v>0</v>
      </c>
      <c r="X122" s="251">
        <v>0</v>
      </c>
      <c r="Y122" s="251">
        <v>0</v>
      </c>
    </row>
    <row r="123" spans="4:25" x14ac:dyDescent="0.35">
      <c r="D123" s="29"/>
      <c r="E123" s="29"/>
      <c r="J123" s="14"/>
      <c r="K123" s="14"/>
      <c r="L123" s="14"/>
      <c r="M123" s="14"/>
      <c r="N123" s="14"/>
      <c r="O123" s="14"/>
      <c r="P123" s="14"/>
      <c r="Q123" s="14"/>
      <c r="R123" s="14"/>
      <c r="S123" s="14"/>
      <c r="T123" s="14"/>
      <c r="U123" s="14"/>
      <c r="V123" s="14"/>
      <c r="W123" s="14"/>
      <c r="X123" s="14"/>
      <c r="Y123" s="14"/>
    </row>
    <row r="124" spans="4:25" x14ac:dyDescent="0.35">
      <c r="E124" s="32" t="s">
        <v>216</v>
      </c>
      <c r="J124" s="14"/>
      <c r="K124" s="14"/>
      <c r="L124" s="14"/>
      <c r="M124" s="14"/>
      <c r="N124" s="14"/>
      <c r="O124" s="14"/>
      <c r="P124" s="14"/>
      <c r="Q124" s="14"/>
      <c r="R124" s="14"/>
      <c r="S124" s="14"/>
      <c r="T124" s="14"/>
      <c r="U124" s="14"/>
      <c r="V124" s="14"/>
      <c r="W124" s="14"/>
      <c r="X124" s="14"/>
      <c r="Y124" s="14"/>
    </row>
    <row r="125" spans="4:25" x14ac:dyDescent="0.35">
      <c r="E125" s="29" t="s">
        <v>217</v>
      </c>
      <c r="J125" s="14"/>
      <c r="K125" s="14"/>
      <c r="L125" s="14"/>
      <c r="M125" s="14"/>
      <c r="N125" s="14"/>
      <c r="O125" s="14"/>
      <c r="P125" s="14"/>
      <c r="Q125" s="14"/>
      <c r="R125" s="14"/>
      <c r="S125" s="14"/>
      <c r="T125" s="14"/>
      <c r="U125" s="14"/>
      <c r="V125" s="14"/>
      <c r="W125" s="14"/>
      <c r="X125" s="14"/>
      <c r="Y125" s="14"/>
    </row>
    <row r="126" spans="4:25" x14ac:dyDescent="0.35">
      <c r="E126" s="29" t="s">
        <v>218</v>
      </c>
      <c r="J126" s="14"/>
      <c r="K126" s="14"/>
      <c r="L126" s="14"/>
      <c r="M126" s="14"/>
      <c r="N126" s="14"/>
      <c r="O126" s="14"/>
      <c r="P126" s="14"/>
      <c r="Q126" s="14"/>
      <c r="R126" s="14"/>
      <c r="S126" s="14"/>
      <c r="T126" s="14"/>
      <c r="U126" s="14"/>
      <c r="V126" s="14"/>
      <c r="W126" s="14"/>
      <c r="X126" s="14"/>
      <c r="Y126" s="14"/>
    </row>
    <row r="127" spans="4:25" x14ac:dyDescent="0.35">
      <c r="E127" s="29"/>
      <c r="F127" t="s">
        <v>216</v>
      </c>
      <c r="G127" t="s">
        <v>209</v>
      </c>
      <c r="J127" s="250" t="b">
        <v>0</v>
      </c>
      <c r="K127" s="250" t="b">
        <v>0</v>
      </c>
      <c r="L127" s="250" t="b">
        <v>0</v>
      </c>
      <c r="M127" s="250" t="b">
        <v>0</v>
      </c>
      <c r="N127" s="250" t="b">
        <v>0</v>
      </c>
      <c r="O127" s="250" t="b">
        <v>0</v>
      </c>
      <c r="P127" s="250" t="b">
        <v>0</v>
      </c>
      <c r="Q127" s="250" t="b">
        <v>1</v>
      </c>
      <c r="R127" s="250" t="b">
        <v>0</v>
      </c>
      <c r="S127" s="250" t="b">
        <v>0</v>
      </c>
      <c r="T127" s="250" t="b">
        <v>0</v>
      </c>
      <c r="U127" s="250" t="b">
        <v>0</v>
      </c>
      <c r="V127" s="250" t="b">
        <v>0</v>
      </c>
      <c r="W127" s="250" t="b">
        <v>0</v>
      </c>
      <c r="X127" s="250" t="b">
        <v>0</v>
      </c>
      <c r="Y127" s="250" t="b">
        <v>0</v>
      </c>
    </row>
    <row r="128" spans="4:25" x14ac:dyDescent="0.35">
      <c r="E128" s="29"/>
      <c r="J128" s="14"/>
      <c r="K128" s="14"/>
      <c r="L128" s="14"/>
      <c r="M128" s="14"/>
      <c r="N128" s="14"/>
      <c r="O128" s="14"/>
      <c r="P128" s="14"/>
      <c r="Q128" s="14"/>
      <c r="R128" s="14"/>
      <c r="S128" s="14"/>
      <c r="T128" s="14"/>
      <c r="U128" s="14"/>
      <c r="V128" s="14"/>
      <c r="W128" s="14"/>
      <c r="X128" s="14"/>
      <c r="Y128" s="14"/>
    </row>
    <row r="129" spans="3:43" x14ac:dyDescent="0.35">
      <c r="E129" s="32" t="s">
        <v>219</v>
      </c>
      <c r="J129" s="14"/>
      <c r="K129" s="14"/>
      <c r="L129" s="14"/>
      <c r="M129" s="14"/>
      <c r="N129" s="14"/>
      <c r="O129" s="14"/>
      <c r="P129" s="14"/>
      <c r="Q129" s="14"/>
      <c r="R129" s="14"/>
      <c r="S129" s="14"/>
      <c r="T129" s="14"/>
      <c r="U129" s="14"/>
      <c r="V129" s="14"/>
      <c r="W129" s="14"/>
      <c r="X129" s="14"/>
      <c r="Y129" s="14"/>
    </row>
    <row r="130" spans="3:43" x14ac:dyDescent="0.35">
      <c r="E130" s="29" t="s">
        <v>220</v>
      </c>
      <c r="J130" s="14"/>
      <c r="K130" s="14"/>
      <c r="L130" s="14"/>
      <c r="M130" s="14"/>
      <c r="N130" s="14"/>
      <c r="O130" s="14"/>
      <c r="P130" s="14"/>
      <c r="Q130" s="14"/>
      <c r="R130" s="14"/>
      <c r="S130" s="14"/>
      <c r="T130" s="14"/>
      <c r="U130" s="14"/>
      <c r="V130" s="14"/>
      <c r="W130" s="14"/>
      <c r="X130" s="14"/>
      <c r="Y130" s="14"/>
    </row>
    <row r="131" spans="3:43" x14ac:dyDescent="0.35">
      <c r="E131" s="29"/>
      <c r="F131" t="s">
        <v>221</v>
      </c>
      <c r="G131" t="s">
        <v>209</v>
      </c>
      <c r="J131" s="250" t="b">
        <v>1</v>
      </c>
      <c r="K131" s="250" t="b">
        <v>0</v>
      </c>
      <c r="L131" s="250" t="b">
        <v>1</v>
      </c>
      <c r="M131" s="250" t="b">
        <v>0</v>
      </c>
      <c r="N131" s="250" t="b">
        <v>1</v>
      </c>
      <c r="O131" s="250" t="b">
        <v>1</v>
      </c>
      <c r="P131" s="250" t="b">
        <v>1</v>
      </c>
      <c r="Q131" s="250" t="b">
        <v>1</v>
      </c>
      <c r="R131" s="250" t="b">
        <v>1</v>
      </c>
      <c r="S131" s="250" t="b">
        <v>1</v>
      </c>
      <c r="T131" s="250" t="b">
        <v>1</v>
      </c>
      <c r="U131" s="250" t="b">
        <v>1</v>
      </c>
      <c r="V131" s="250" t="b">
        <v>1</v>
      </c>
      <c r="W131" s="250" t="b">
        <v>1</v>
      </c>
      <c r="X131" s="250" t="b">
        <v>1</v>
      </c>
      <c r="Y131" s="250" t="b">
        <v>1</v>
      </c>
    </row>
    <row r="132" spans="3:43" x14ac:dyDescent="0.35">
      <c r="D132" s="29"/>
      <c r="J132" s="14"/>
      <c r="K132" s="14"/>
      <c r="L132" s="14"/>
      <c r="M132" s="14"/>
      <c r="N132" s="14"/>
      <c r="O132" s="14"/>
      <c r="P132" s="14"/>
      <c r="Q132" s="14"/>
      <c r="R132" s="14"/>
      <c r="S132" s="14"/>
      <c r="T132" s="14"/>
      <c r="U132" s="14"/>
      <c r="V132" s="14"/>
      <c r="W132" s="14"/>
      <c r="X132" s="14"/>
      <c r="Y132" s="14"/>
    </row>
    <row r="133" spans="3:43" x14ac:dyDescent="0.35">
      <c r="E133" s="32" t="s">
        <v>222</v>
      </c>
      <c r="I133" t="s">
        <v>154</v>
      </c>
      <c r="J133" s="14"/>
      <c r="K133" s="14"/>
      <c r="L133" s="14"/>
      <c r="M133" s="14"/>
      <c r="N133" s="14"/>
      <c r="O133" s="14"/>
      <c r="P133" s="14"/>
      <c r="Q133" s="14"/>
      <c r="R133" s="14"/>
      <c r="S133" s="14"/>
      <c r="T133" s="14"/>
      <c r="U133" s="14"/>
      <c r="V133" s="14"/>
      <c r="W133" s="14"/>
      <c r="X133" s="14"/>
      <c r="Y133" s="14"/>
      <c r="AQ133" t="s">
        <v>223</v>
      </c>
    </row>
    <row r="134" spans="3:43" x14ac:dyDescent="0.35">
      <c r="E134" s="29" t="s">
        <v>224</v>
      </c>
      <c r="J134" s="14"/>
      <c r="K134" s="14"/>
      <c r="L134" s="14"/>
      <c r="M134" s="14"/>
      <c r="N134" s="14"/>
      <c r="O134" s="14"/>
      <c r="P134" s="14"/>
      <c r="Q134" s="14"/>
      <c r="R134" s="14"/>
      <c r="S134" s="14"/>
      <c r="T134" s="14"/>
      <c r="U134" s="14"/>
      <c r="V134" s="14"/>
      <c r="W134" s="14"/>
      <c r="X134" s="14"/>
      <c r="Y134" s="14"/>
    </row>
    <row r="135" spans="3:43" x14ac:dyDescent="0.35">
      <c r="E135" s="29" t="s">
        <v>225</v>
      </c>
      <c r="J135" s="14"/>
      <c r="K135" s="14"/>
      <c r="L135" s="14"/>
      <c r="M135" s="14"/>
      <c r="N135" s="14"/>
      <c r="O135" s="14"/>
      <c r="P135" s="14"/>
      <c r="Q135" s="14"/>
      <c r="R135" s="14"/>
      <c r="S135" s="14"/>
      <c r="T135" s="14"/>
      <c r="U135" s="14"/>
      <c r="V135" s="14"/>
      <c r="W135" s="14"/>
      <c r="X135" s="14"/>
      <c r="Y135" s="14"/>
    </row>
    <row r="136" spans="3:43" x14ac:dyDescent="0.35">
      <c r="E136" s="29"/>
      <c r="F136" t="s">
        <v>160</v>
      </c>
      <c r="G136" t="s">
        <v>176</v>
      </c>
      <c r="J136" s="250">
        <v>0</v>
      </c>
      <c r="K136" s="250">
        <v>0</v>
      </c>
      <c r="L136" s="250">
        <v>0</v>
      </c>
      <c r="M136" s="250">
        <v>0</v>
      </c>
      <c r="N136" s="250">
        <v>1</v>
      </c>
      <c r="O136" s="250">
        <v>1</v>
      </c>
      <c r="P136" s="250">
        <v>1</v>
      </c>
      <c r="Q136" s="250">
        <v>0</v>
      </c>
      <c r="R136" s="250">
        <v>0</v>
      </c>
      <c r="S136" s="250">
        <v>0</v>
      </c>
      <c r="T136" s="250">
        <v>0</v>
      </c>
      <c r="U136" s="250">
        <v>0</v>
      </c>
      <c r="V136" s="250">
        <v>0</v>
      </c>
      <c r="W136" s="250">
        <v>0</v>
      </c>
      <c r="X136" s="250">
        <v>0</v>
      </c>
      <c r="Y136" s="250">
        <v>0</v>
      </c>
    </row>
    <row r="137" spans="3:43" x14ac:dyDescent="0.35">
      <c r="E137" s="29"/>
      <c r="F137" t="s">
        <v>161</v>
      </c>
      <c r="G137" t="s">
        <v>176</v>
      </c>
      <c r="J137" s="250">
        <v>0</v>
      </c>
      <c r="K137" s="250">
        <v>0</v>
      </c>
      <c r="L137" s="250">
        <v>0</v>
      </c>
      <c r="M137" s="250">
        <v>0</v>
      </c>
      <c r="N137" s="250">
        <v>1</v>
      </c>
      <c r="O137" s="250">
        <v>1</v>
      </c>
      <c r="P137" s="250">
        <v>1</v>
      </c>
      <c r="Q137" s="250">
        <v>0</v>
      </c>
      <c r="R137" s="250">
        <v>0</v>
      </c>
      <c r="S137" s="250">
        <v>0</v>
      </c>
      <c r="T137" s="250">
        <v>0</v>
      </c>
      <c r="U137" s="250">
        <v>0</v>
      </c>
      <c r="V137" s="250">
        <v>0</v>
      </c>
      <c r="W137" s="250">
        <v>0</v>
      </c>
      <c r="X137" s="250">
        <v>0</v>
      </c>
      <c r="Y137" s="250">
        <v>0</v>
      </c>
    </row>
    <row r="138" spans="3:43" x14ac:dyDescent="0.35">
      <c r="E138" s="29"/>
      <c r="F138" t="s">
        <v>226</v>
      </c>
      <c r="G138" t="s">
        <v>176</v>
      </c>
      <c r="J138" s="250">
        <v>0</v>
      </c>
      <c r="K138" s="250">
        <v>0</v>
      </c>
      <c r="L138" s="250">
        <v>0</v>
      </c>
      <c r="M138" s="250">
        <v>0</v>
      </c>
      <c r="N138" s="250">
        <v>1</v>
      </c>
      <c r="O138" s="250">
        <v>1</v>
      </c>
      <c r="P138" s="250">
        <v>1</v>
      </c>
      <c r="Q138" s="250">
        <v>0</v>
      </c>
      <c r="R138" s="250">
        <v>0</v>
      </c>
      <c r="S138" s="250">
        <v>0</v>
      </c>
      <c r="T138" s="250">
        <v>1</v>
      </c>
      <c r="U138" s="250">
        <v>0</v>
      </c>
      <c r="V138" s="250">
        <v>1</v>
      </c>
      <c r="W138" s="250">
        <v>0</v>
      </c>
      <c r="X138" s="250">
        <v>1</v>
      </c>
      <c r="Y138" s="250">
        <v>0</v>
      </c>
    </row>
    <row r="139" spans="3:43" x14ac:dyDescent="0.35">
      <c r="E139" s="29"/>
      <c r="F139" t="s">
        <v>227</v>
      </c>
      <c r="G139" t="s">
        <v>176</v>
      </c>
      <c r="J139" s="250">
        <v>1</v>
      </c>
      <c r="K139" s="250">
        <v>0</v>
      </c>
      <c r="L139" s="250">
        <v>1</v>
      </c>
      <c r="M139" s="250">
        <v>0</v>
      </c>
      <c r="N139" s="250">
        <v>0</v>
      </c>
      <c r="O139" s="250">
        <v>0</v>
      </c>
      <c r="P139" s="250">
        <v>0</v>
      </c>
      <c r="Q139" s="250">
        <v>0</v>
      </c>
      <c r="R139" s="250">
        <v>0</v>
      </c>
      <c r="S139" s="250">
        <v>0</v>
      </c>
      <c r="T139" s="250">
        <v>0</v>
      </c>
      <c r="U139" s="250">
        <v>0</v>
      </c>
      <c r="V139" s="250">
        <v>0</v>
      </c>
      <c r="W139" s="250">
        <v>0</v>
      </c>
      <c r="X139" s="250">
        <v>0</v>
      </c>
      <c r="Y139" s="250">
        <v>0</v>
      </c>
    </row>
    <row r="140" spans="3:43" x14ac:dyDescent="0.35">
      <c r="D140" s="29"/>
      <c r="J140" s="14"/>
      <c r="K140" s="14"/>
      <c r="L140" s="14"/>
      <c r="M140" s="14"/>
      <c r="N140" s="14"/>
      <c r="O140" s="14"/>
      <c r="P140" s="14"/>
      <c r="Q140" s="14"/>
      <c r="R140" s="14"/>
      <c r="S140" s="14"/>
      <c r="T140" s="14"/>
      <c r="U140" s="14"/>
      <c r="V140" s="14"/>
      <c r="W140" s="14"/>
      <c r="X140" s="14"/>
      <c r="Y140" s="14"/>
    </row>
    <row r="141" spans="3:43" x14ac:dyDescent="0.3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row>
    <row r="143" spans="3:43" x14ac:dyDescent="0.35">
      <c r="E143" s="32" t="s">
        <v>228</v>
      </c>
      <c r="F143" s="32"/>
    </row>
    <row r="144" spans="3:43" x14ac:dyDescent="0.35">
      <c r="E144" s="29" t="s">
        <v>229</v>
      </c>
      <c r="F144" s="29"/>
      <c r="I144" t="s">
        <v>154</v>
      </c>
      <c r="AQ144" t="s">
        <v>902</v>
      </c>
    </row>
    <row r="145" spans="3:61" x14ac:dyDescent="0.35">
      <c r="E145" s="29"/>
      <c r="F145" s="28" t="s">
        <v>228</v>
      </c>
      <c r="G145" t="s">
        <v>149</v>
      </c>
      <c r="J145" s="242">
        <v>1</v>
      </c>
      <c r="K145" s="70"/>
      <c r="L145" s="242">
        <v>1</v>
      </c>
      <c r="M145" s="70"/>
      <c r="N145" s="70"/>
      <c r="O145" s="70"/>
      <c r="P145" s="70"/>
      <c r="Q145" s="70"/>
      <c r="R145" s="70"/>
      <c r="S145" s="70"/>
      <c r="T145" s="70"/>
      <c r="U145" s="70"/>
      <c r="V145" s="70"/>
      <c r="W145" s="70"/>
      <c r="X145" s="70"/>
      <c r="Y145" s="70"/>
    </row>
    <row r="146" spans="3:61" x14ac:dyDescent="0.35">
      <c r="E146" s="29"/>
      <c r="F146" s="29"/>
    </row>
    <row r="147" spans="3:61" x14ac:dyDescent="0.35">
      <c r="E147" s="32" t="s">
        <v>846</v>
      </c>
      <c r="F147" s="32"/>
      <c r="I147" t="s">
        <v>154</v>
      </c>
      <c r="AQ147" t="s">
        <v>859</v>
      </c>
    </row>
    <row r="148" spans="3:61" x14ac:dyDescent="0.35">
      <c r="E148" s="29" t="s">
        <v>847</v>
      </c>
      <c r="F148" s="29"/>
    </row>
    <row r="149" spans="3:61" x14ac:dyDescent="0.35">
      <c r="E149" s="29"/>
      <c r="F149" s="28" t="s">
        <v>848</v>
      </c>
      <c r="G149" t="s">
        <v>149</v>
      </c>
      <c r="J149" s="242">
        <v>1</v>
      </c>
      <c r="K149" s="242">
        <v>1</v>
      </c>
      <c r="L149" s="242">
        <v>2</v>
      </c>
      <c r="M149" s="242">
        <v>2</v>
      </c>
      <c r="N149" s="242">
        <v>3</v>
      </c>
      <c r="O149" s="242">
        <v>4</v>
      </c>
      <c r="P149" s="242">
        <v>5</v>
      </c>
      <c r="Q149" s="70"/>
      <c r="R149" s="70"/>
      <c r="S149" s="70"/>
      <c r="T149" s="70"/>
      <c r="U149" s="70"/>
      <c r="V149" s="70"/>
      <c r="W149" s="70"/>
      <c r="X149" s="70"/>
      <c r="Y149" s="70"/>
    </row>
    <row r="150" spans="3:61" x14ac:dyDescent="0.35">
      <c r="E150" s="29"/>
      <c r="F150" s="29"/>
    </row>
    <row r="151" spans="3:61" x14ac:dyDescent="0.3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row>
    <row r="153" spans="3:61" x14ac:dyDescent="0.35">
      <c r="E153" t="s">
        <v>230</v>
      </c>
      <c r="G153" t="s">
        <v>149</v>
      </c>
      <c r="H153" s="242">
        <v>3</v>
      </c>
    </row>
    <row r="155" spans="3:61" x14ac:dyDescent="0.3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35">
      <c r="C157" s="88"/>
      <c r="D157" s="2"/>
      <c r="E157" s="32" t="s">
        <v>872</v>
      </c>
      <c r="I157" t="s">
        <v>154</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t="s">
        <v>897</v>
      </c>
      <c r="AR157" s="89"/>
    </row>
    <row r="158" spans="3:61" x14ac:dyDescent="0.35">
      <c r="C158" s="88"/>
      <c r="D158" s="2"/>
      <c r="F158" s="23" t="s">
        <v>873</v>
      </c>
      <c r="G158" s="23" t="s">
        <v>176</v>
      </c>
      <c r="H158" s="23"/>
      <c r="I158" s="23"/>
      <c r="J158" s="325">
        <v>1</v>
      </c>
      <c r="K158" s="325">
        <v>0</v>
      </c>
      <c r="L158" s="325">
        <v>0</v>
      </c>
      <c r="M158" s="325">
        <v>0</v>
      </c>
      <c r="N158" s="325">
        <v>0</v>
      </c>
      <c r="O158" s="325">
        <v>0</v>
      </c>
      <c r="P158" s="325">
        <v>0</v>
      </c>
      <c r="Q158" s="325">
        <v>0</v>
      </c>
      <c r="R158" s="325">
        <v>0</v>
      </c>
      <c r="S158" s="325">
        <v>0</v>
      </c>
      <c r="T158" s="325">
        <v>0</v>
      </c>
      <c r="U158" s="325">
        <v>0</v>
      </c>
      <c r="V158" s="325">
        <v>0</v>
      </c>
      <c r="W158" s="325">
        <v>0</v>
      </c>
      <c r="X158" s="325">
        <v>0</v>
      </c>
      <c r="Y158" s="325">
        <v>0</v>
      </c>
      <c r="Z158" s="89"/>
      <c r="AA158" s="89"/>
      <c r="AB158" s="89"/>
      <c r="AC158" s="89"/>
      <c r="AD158" s="89"/>
      <c r="AE158" s="89"/>
      <c r="AF158" s="89"/>
      <c r="AG158" s="89"/>
      <c r="AH158" s="89"/>
      <c r="AI158" s="89"/>
      <c r="AJ158" s="89"/>
      <c r="AK158" s="89"/>
      <c r="AL158" s="89"/>
      <c r="AM158" s="89"/>
      <c r="AN158" s="89"/>
      <c r="AO158" s="89"/>
      <c r="AP158" s="89"/>
      <c r="AQ158" s="89"/>
      <c r="AR158" s="89"/>
    </row>
    <row r="159" spans="3:61" x14ac:dyDescent="0.35">
      <c r="C159" s="88"/>
      <c r="D159" s="2"/>
      <c r="F159" s="37" t="s">
        <v>874</v>
      </c>
      <c r="G159" s="37" t="s">
        <v>176</v>
      </c>
      <c r="H159" s="37"/>
      <c r="I159" s="37"/>
      <c r="J159" s="326">
        <v>1</v>
      </c>
      <c r="K159" s="326">
        <v>0</v>
      </c>
      <c r="L159" s="326">
        <v>1</v>
      </c>
      <c r="M159" s="326">
        <v>0</v>
      </c>
      <c r="N159" s="326">
        <v>1</v>
      </c>
      <c r="O159" s="326">
        <v>1</v>
      </c>
      <c r="P159" s="326">
        <v>1</v>
      </c>
      <c r="Q159" s="326">
        <v>0</v>
      </c>
      <c r="R159" s="326">
        <v>0</v>
      </c>
      <c r="S159" s="326">
        <v>0</v>
      </c>
      <c r="T159" s="326">
        <v>0</v>
      </c>
      <c r="U159" s="326">
        <v>0</v>
      </c>
      <c r="V159" s="326">
        <v>0</v>
      </c>
      <c r="W159" s="326">
        <v>0</v>
      </c>
      <c r="X159" s="326">
        <v>0</v>
      </c>
      <c r="Y159" s="326">
        <v>0</v>
      </c>
      <c r="Z159" s="89"/>
      <c r="AA159" s="89"/>
      <c r="AB159" s="89"/>
      <c r="AC159" s="89"/>
      <c r="AD159" s="89"/>
      <c r="AE159" s="89"/>
      <c r="AF159" s="89"/>
      <c r="AG159" s="89"/>
      <c r="AH159" s="89"/>
      <c r="AI159" s="89"/>
      <c r="AJ159" s="89"/>
      <c r="AK159" s="89"/>
      <c r="AL159" s="89"/>
      <c r="AM159" s="89"/>
      <c r="AN159" s="89"/>
      <c r="AO159" s="89"/>
      <c r="AP159" s="89"/>
      <c r="AQ159" s="89"/>
      <c r="AR159" s="89"/>
    </row>
    <row r="160" spans="3:61" x14ac:dyDescent="0.35">
      <c r="C160" s="88"/>
      <c r="D160" s="2"/>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89"/>
      <c r="AS160" s="311"/>
      <c r="AT160" s="311"/>
      <c r="AU160" s="311"/>
      <c r="AV160" s="311"/>
      <c r="AW160" s="311"/>
      <c r="AX160" s="311"/>
      <c r="AY160" s="311"/>
      <c r="AZ160" s="311"/>
      <c r="BA160" s="311"/>
      <c r="BB160" s="311"/>
      <c r="BC160" s="311"/>
      <c r="BD160" s="311"/>
      <c r="BE160" s="311"/>
      <c r="BF160" s="311"/>
      <c r="BG160" s="311"/>
      <c r="BH160" s="311"/>
      <c r="BI160" s="311"/>
    </row>
    <row r="161" spans="3:61" x14ac:dyDescent="0.35">
      <c r="C161" s="31" t="str">
        <f ca="1">INDEX('Version control'!$H$34:$H$57,MATCH($A$1,'Version control'!$F$34:$F$57,0),1)&amp;"-J: Revenue matching inputs"</f>
        <v>Input 101-J: Revenue matching inputs</v>
      </c>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1"/>
      <c r="AT161" s="311"/>
      <c r="AU161" s="311"/>
      <c r="AV161" s="311"/>
      <c r="AW161" s="311"/>
      <c r="AX161" s="311"/>
      <c r="AY161" s="311"/>
      <c r="AZ161" s="311"/>
      <c r="BA161" s="311"/>
      <c r="BB161" s="311"/>
      <c r="BC161" s="311"/>
      <c r="BD161" s="311"/>
      <c r="BE161" s="311"/>
      <c r="BF161" s="311"/>
      <c r="BG161" s="311"/>
      <c r="BH161" s="311"/>
      <c r="BI161" s="311"/>
    </row>
    <row r="162" spans="3:61" x14ac:dyDescent="0.35">
      <c r="C162" s="88"/>
      <c r="D162" s="2"/>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89"/>
      <c r="AS162" s="311"/>
      <c r="AT162" s="311"/>
      <c r="AU162" s="311"/>
      <c r="AV162" s="311"/>
      <c r="AW162" s="311"/>
      <c r="AX162" s="311"/>
      <c r="AY162" s="311"/>
      <c r="AZ162" s="311"/>
      <c r="BA162" s="311"/>
      <c r="BB162" s="311"/>
      <c r="BC162" s="311"/>
      <c r="BD162" s="311"/>
      <c r="BE162" s="311"/>
      <c r="BF162" s="311"/>
      <c r="BG162" s="311"/>
      <c r="BH162" s="311"/>
      <c r="BI162" s="311"/>
    </row>
    <row r="163" spans="3:61" ht="43.5" x14ac:dyDescent="0.35">
      <c r="C163" s="88"/>
      <c r="D163" s="2"/>
      <c r="E163" s="32" t="s">
        <v>1012</v>
      </c>
      <c r="F163" s="311"/>
      <c r="G163" s="311"/>
      <c r="H163" s="311"/>
      <c r="I163" s="311"/>
      <c r="J163" s="114" t="s">
        <v>913</v>
      </c>
      <c r="K163" s="114" t="s">
        <v>831</v>
      </c>
      <c r="L163" s="114" t="s">
        <v>914</v>
      </c>
      <c r="M163" s="114" t="s">
        <v>915</v>
      </c>
      <c r="N163" s="114" t="s">
        <v>916</v>
      </c>
      <c r="O163" s="114" t="s">
        <v>917</v>
      </c>
      <c r="P163" s="114" t="s">
        <v>918</v>
      </c>
      <c r="Q163" s="114" t="s">
        <v>832</v>
      </c>
      <c r="R163" s="114" t="s">
        <v>919</v>
      </c>
      <c r="S163" s="114" t="s">
        <v>920</v>
      </c>
      <c r="T163" s="114" t="s">
        <v>921</v>
      </c>
      <c r="U163" s="114" t="s">
        <v>922</v>
      </c>
      <c r="V163" s="114" t="s">
        <v>923</v>
      </c>
      <c r="W163" s="114" t="s">
        <v>924</v>
      </c>
      <c r="X163" s="114" t="s">
        <v>925</v>
      </c>
      <c r="Y163" s="114" t="s">
        <v>926</v>
      </c>
      <c r="Z163" s="114" t="s">
        <v>927</v>
      </c>
      <c r="AA163" s="114" t="s">
        <v>928</v>
      </c>
      <c r="AB163" s="114" t="s">
        <v>929</v>
      </c>
      <c r="AC163" s="114" t="s">
        <v>930</v>
      </c>
      <c r="AD163" s="114" t="s">
        <v>931</v>
      </c>
      <c r="AE163" s="114" t="s">
        <v>932</v>
      </c>
      <c r="AF163" s="114" t="s">
        <v>933</v>
      </c>
      <c r="AG163" s="114" t="s">
        <v>841</v>
      </c>
      <c r="AH163" s="114" t="s">
        <v>833</v>
      </c>
      <c r="AI163" s="114" t="s">
        <v>834</v>
      </c>
      <c r="AJ163" s="114" t="s">
        <v>835</v>
      </c>
      <c r="AK163" s="114" t="s">
        <v>844</v>
      </c>
      <c r="AL163" s="114" t="s">
        <v>836</v>
      </c>
      <c r="AM163" s="114" t="s">
        <v>843</v>
      </c>
      <c r="AN163" s="114" t="s">
        <v>837</v>
      </c>
      <c r="AO163" s="114" t="s">
        <v>842</v>
      </c>
      <c r="AP163" s="311"/>
      <c r="AQ163" s="311"/>
      <c r="AR163" s="89"/>
      <c r="AS163" s="311"/>
      <c r="AT163" s="311"/>
      <c r="AU163" s="311"/>
      <c r="AV163" s="311"/>
      <c r="AW163" s="311"/>
      <c r="AX163" s="311"/>
      <c r="AY163" s="311"/>
      <c r="AZ163" s="311"/>
      <c r="BA163" s="311"/>
      <c r="BB163" s="311"/>
      <c r="BC163" s="311"/>
      <c r="BD163" s="311"/>
      <c r="BE163" s="311"/>
      <c r="BF163" s="311"/>
      <c r="BG163" s="311"/>
      <c r="BH163" s="311"/>
      <c r="BI163" s="311"/>
    </row>
    <row r="164" spans="3:61" x14ac:dyDescent="0.35">
      <c r="C164" s="88"/>
      <c r="D164" s="2"/>
      <c r="F164" s="23" t="s">
        <v>1011</v>
      </c>
      <c r="G164" s="23" t="s">
        <v>912</v>
      </c>
      <c r="H164" s="23"/>
      <c r="I164" s="23"/>
      <c r="J164" s="375" t="b">
        <v>1</v>
      </c>
      <c r="K164" s="375" t="b">
        <v>0</v>
      </c>
      <c r="L164" s="375" t="b">
        <v>0</v>
      </c>
      <c r="M164" s="375" t="b">
        <v>1</v>
      </c>
      <c r="N164" s="375" t="b">
        <v>1</v>
      </c>
      <c r="O164" s="375" t="b">
        <v>1</v>
      </c>
      <c r="P164" s="375" t="b">
        <v>1</v>
      </c>
      <c r="Q164" s="375" t="b">
        <v>0</v>
      </c>
      <c r="R164" s="375" t="b">
        <v>0</v>
      </c>
      <c r="S164" s="375" t="b">
        <v>1</v>
      </c>
      <c r="T164" s="375" t="b">
        <v>1</v>
      </c>
      <c r="U164" s="375" t="b">
        <v>1</v>
      </c>
      <c r="V164" s="375" t="b">
        <v>1</v>
      </c>
      <c r="W164" s="375" t="b">
        <v>0</v>
      </c>
      <c r="X164" s="375" t="b">
        <v>1</v>
      </c>
      <c r="Y164" s="375" t="b">
        <v>1</v>
      </c>
      <c r="Z164" s="375" t="b">
        <v>1</v>
      </c>
      <c r="AA164" s="375" t="b">
        <v>1</v>
      </c>
      <c r="AB164" s="375" t="b">
        <v>0</v>
      </c>
      <c r="AC164" s="375" t="b">
        <v>1</v>
      </c>
      <c r="AD164" s="375" t="b">
        <v>1</v>
      </c>
      <c r="AE164" s="375" t="b">
        <v>1</v>
      </c>
      <c r="AF164" s="375" t="b">
        <v>1</v>
      </c>
      <c r="AG164" s="375" t="b">
        <v>1</v>
      </c>
      <c r="AH164" s="375" t="b">
        <v>0</v>
      </c>
      <c r="AI164" s="375" t="b">
        <v>0</v>
      </c>
      <c r="AJ164" s="375" t="b">
        <v>0</v>
      </c>
      <c r="AK164" s="375" t="b">
        <v>0</v>
      </c>
      <c r="AL164" s="375" t="b">
        <v>0</v>
      </c>
      <c r="AM164" s="375" t="b">
        <v>0</v>
      </c>
      <c r="AN164" s="375" t="b">
        <v>0</v>
      </c>
      <c r="AO164" s="375" t="b">
        <v>0</v>
      </c>
      <c r="AP164" s="311"/>
      <c r="AQ164" s="311"/>
      <c r="AR164" s="89"/>
      <c r="AS164" s="311"/>
      <c r="AT164" s="311"/>
      <c r="AU164" s="311"/>
      <c r="AV164" s="311"/>
      <c r="AW164" s="311"/>
      <c r="AX164" s="311"/>
      <c r="AY164" s="311"/>
      <c r="AZ164" s="311"/>
      <c r="BA164" s="311"/>
      <c r="BB164" s="311"/>
      <c r="BC164" s="311"/>
      <c r="BD164" s="311"/>
      <c r="BE164" s="311"/>
      <c r="BF164" s="311"/>
      <c r="BG164" s="311"/>
      <c r="BH164" s="311"/>
      <c r="BI164" s="311"/>
    </row>
    <row r="165" spans="3:61" x14ac:dyDescent="0.35">
      <c r="C165" s="88"/>
      <c r="D165" s="2"/>
      <c r="F165" s="311" t="s">
        <v>938</v>
      </c>
      <c r="G165" s="311" t="s">
        <v>912</v>
      </c>
      <c r="H165" s="311"/>
      <c r="I165" s="311"/>
      <c r="J165" s="372" t="b">
        <v>1</v>
      </c>
      <c r="K165" s="371"/>
      <c r="L165" s="371"/>
      <c r="M165" s="372" t="b">
        <v>1</v>
      </c>
      <c r="N165" s="372" t="b">
        <v>1</v>
      </c>
      <c r="O165" s="372" t="b">
        <v>1</v>
      </c>
      <c r="P165" s="372" t="b">
        <v>1</v>
      </c>
      <c r="Q165" s="371"/>
      <c r="R165" s="371"/>
      <c r="S165" s="372" t="b">
        <v>1</v>
      </c>
      <c r="T165" s="372" t="b">
        <v>1</v>
      </c>
      <c r="U165" s="372" t="b">
        <v>1</v>
      </c>
      <c r="V165" s="372" t="b">
        <v>1</v>
      </c>
      <c r="W165" s="371"/>
      <c r="X165" s="372" t="b">
        <v>1</v>
      </c>
      <c r="Y165" s="372" t="b">
        <v>1</v>
      </c>
      <c r="Z165" s="372" t="b">
        <v>1</v>
      </c>
      <c r="AA165" s="372" t="b">
        <v>1</v>
      </c>
      <c r="AB165" s="371"/>
      <c r="AC165" s="372" t="b">
        <v>1</v>
      </c>
      <c r="AD165" s="372" t="b">
        <v>1</v>
      </c>
      <c r="AE165" s="372" t="b">
        <v>1</v>
      </c>
      <c r="AF165" s="372" t="b">
        <v>1</v>
      </c>
      <c r="AG165" s="372" t="b">
        <v>0</v>
      </c>
      <c r="AH165" s="371"/>
      <c r="AI165" s="371"/>
      <c r="AJ165" s="371"/>
      <c r="AK165" s="371"/>
      <c r="AL165" s="371"/>
      <c r="AM165" s="371"/>
      <c r="AN165" s="371"/>
      <c r="AO165" s="371"/>
      <c r="AP165" s="311"/>
      <c r="AQ165" s="311"/>
      <c r="AR165" s="89"/>
      <c r="AS165" s="311"/>
      <c r="AT165" s="311"/>
      <c r="AU165" s="311"/>
      <c r="AV165" s="311"/>
      <c r="AW165" s="311"/>
      <c r="AX165" s="311"/>
      <c r="AY165" s="311"/>
      <c r="AZ165" s="311"/>
      <c r="BA165" s="311"/>
      <c r="BB165" s="311"/>
      <c r="BC165" s="311"/>
      <c r="BD165" s="311"/>
      <c r="BE165" s="311"/>
      <c r="BF165" s="311"/>
      <c r="BG165" s="311"/>
      <c r="BH165" s="311"/>
      <c r="BI165" s="311"/>
    </row>
    <row r="166" spans="3:61" x14ac:dyDescent="0.35">
      <c r="C166" s="88"/>
      <c r="D166" s="2"/>
      <c r="F166" s="311" t="s">
        <v>1009</v>
      </c>
      <c r="G166" s="311" t="s">
        <v>912</v>
      </c>
      <c r="H166" s="311"/>
      <c r="I166" s="311"/>
      <c r="J166" s="372" t="b">
        <v>0</v>
      </c>
      <c r="K166" s="371"/>
      <c r="L166" s="371"/>
      <c r="M166" s="372" t="b">
        <v>0</v>
      </c>
      <c r="N166" s="372" t="b">
        <v>0</v>
      </c>
      <c r="O166" s="372" t="b">
        <v>0</v>
      </c>
      <c r="P166" s="372" t="b">
        <v>0</v>
      </c>
      <c r="Q166" s="371"/>
      <c r="R166" s="371"/>
      <c r="S166" s="372" t="b">
        <v>0</v>
      </c>
      <c r="T166" s="372" t="b">
        <v>0</v>
      </c>
      <c r="U166" s="372" t="b">
        <v>0</v>
      </c>
      <c r="V166" s="372" t="b">
        <v>0</v>
      </c>
      <c r="W166" s="371"/>
      <c r="X166" s="372" t="b">
        <v>0</v>
      </c>
      <c r="Y166" s="372" t="b">
        <v>0</v>
      </c>
      <c r="Z166" s="372" t="b">
        <v>0</v>
      </c>
      <c r="AA166" s="372" t="b">
        <v>0</v>
      </c>
      <c r="AB166" s="371"/>
      <c r="AC166" s="372" t="b">
        <v>0</v>
      </c>
      <c r="AD166" s="372" t="b">
        <v>0</v>
      </c>
      <c r="AE166" s="372" t="b">
        <v>0</v>
      </c>
      <c r="AF166" s="372" t="b">
        <v>0</v>
      </c>
      <c r="AG166" s="372" t="b">
        <v>1</v>
      </c>
      <c r="AH166" s="371"/>
      <c r="AI166" s="371"/>
      <c r="AJ166" s="371"/>
      <c r="AK166" s="371"/>
      <c r="AL166" s="371"/>
      <c r="AM166" s="371"/>
      <c r="AN166" s="371"/>
      <c r="AO166" s="371"/>
      <c r="AP166" s="311"/>
      <c r="AQ166" s="311"/>
      <c r="AR166" s="89"/>
      <c r="AS166" s="311"/>
      <c r="AT166" s="311"/>
      <c r="AU166" s="311"/>
      <c r="AV166" s="311"/>
      <c r="AW166" s="311"/>
      <c r="AX166" s="311"/>
      <c r="AY166" s="311"/>
      <c r="AZ166" s="311"/>
      <c r="BA166" s="311"/>
      <c r="BB166" s="311"/>
      <c r="BC166" s="311"/>
      <c r="BD166" s="311"/>
      <c r="BE166" s="311"/>
      <c r="BF166" s="311"/>
      <c r="BG166" s="311"/>
      <c r="BH166" s="311"/>
      <c r="BI166" s="311"/>
    </row>
    <row r="167" spans="3:61" x14ac:dyDescent="0.35">
      <c r="C167" s="88"/>
      <c r="D167" s="2"/>
      <c r="F167" s="311" t="s">
        <v>945</v>
      </c>
      <c r="G167" s="370" t="s">
        <v>149</v>
      </c>
      <c r="H167" s="311"/>
      <c r="I167" s="311"/>
      <c r="J167" s="372">
        <v>1</v>
      </c>
      <c r="K167" s="371"/>
      <c r="L167" s="371"/>
      <c r="M167" s="372">
        <v>2</v>
      </c>
      <c r="N167" s="372">
        <v>2</v>
      </c>
      <c r="O167" s="372">
        <v>2</v>
      </c>
      <c r="P167" s="372">
        <v>2</v>
      </c>
      <c r="Q167" s="371"/>
      <c r="R167" s="371"/>
      <c r="S167" s="372">
        <v>3</v>
      </c>
      <c r="T167" s="372">
        <v>3</v>
      </c>
      <c r="U167" s="372">
        <v>3</v>
      </c>
      <c r="V167" s="372">
        <v>3</v>
      </c>
      <c r="W167" s="371"/>
      <c r="X167" s="372">
        <v>3</v>
      </c>
      <c r="Y167" s="372">
        <v>3</v>
      </c>
      <c r="Z167" s="372">
        <v>3</v>
      </c>
      <c r="AA167" s="372">
        <v>3</v>
      </c>
      <c r="AB167" s="371"/>
      <c r="AC167" s="372">
        <v>4</v>
      </c>
      <c r="AD167" s="372">
        <v>4</v>
      </c>
      <c r="AE167" s="372">
        <v>4</v>
      </c>
      <c r="AF167" s="372">
        <v>4</v>
      </c>
      <c r="AG167" s="372">
        <v>5</v>
      </c>
      <c r="AH167" s="371"/>
      <c r="AI167" s="371"/>
      <c r="AJ167" s="371"/>
      <c r="AK167" s="371"/>
      <c r="AL167" s="371"/>
      <c r="AM167" s="371"/>
      <c r="AN167" s="371"/>
      <c r="AO167" s="371"/>
      <c r="AP167" s="311"/>
      <c r="AQ167" s="311"/>
      <c r="AR167" s="89"/>
      <c r="AS167" s="311"/>
      <c r="AT167" s="311"/>
      <c r="AU167" s="311"/>
      <c r="AV167" s="311"/>
      <c r="AW167" s="311"/>
      <c r="AX167" s="311"/>
      <c r="AY167" s="311"/>
      <c r="AZ167" s="311"/>
      <c r="BA167" s="311"/>
      <c r="BB167" s="311"/>
      <c r="BC167" s="311"/>
      <c r="BD167" s="311"/>
      <c r="BE167" s="311"/>
      <c r="BF167" s="311"/>
      <c r="BG167" s="311"/>
      <c r="BH167" s="311"/>
      <c r="BI167" s="311"/>
    </row>
    <row r="168" spans="3:61" x14ac:dyDescent="0.35">
      <c r="C168" s="88"/>
      <c r="D168" s="2"/>
      <c r="F168" s="311" t="s">
        <v>944</v>
      </c>
      <c r="G168" s="370" t="s">
        <v>149</v>
      </c>
      <c r="H168" s="311"/>
      <c r="I168" s="311"/>
      <c r="J168" s="372">
        <v>1</v>
      </c>
      <c r="K168" s="371"/>
      <c r="L168" s="371"/>
      <c r="M168" s="372">
        <v>1</v>
      </c>
      <c r="N168" s="372">
        <v>2</v>
      </c>
      <c r="O168" s="372">
        <v>3</v>
      </c>
      <c r="P168" s="372">
        <v>4</v>
      </c>
      <c r="Q168" s="371"/>
      <c r="R168" s="371"/>
      <c r="S168" s="372">
        <v>1</v>
      </c>
      <c r="T168" s="372">
        <v>2</v>
      </c>
      <c r="U168" s="372">
        <v>3</v>
      </c>
      <c r="V168" s="372">
        <v>4</v>
      </c>
      <c r="W168" s="371"/>
      <c r="X168" s="372">
        <v>1</v>
      </c>
      <c r="Y168" s="372">
        <v>2</v>
      </c>
      <c r="Z168" s="372">
        <v>3</v>
      </c>
      <c r="AA168" s="372">
        <v>4</v>
      </c>
      <c r="AB168" s="371"/>
      <c r="AC168" s="372">
        <v>1</v>
      </c>
      <c r="AD168" s="372">
        <v>2</v>
      </c>
      <c r="AE168" s="372">
        <v>3</v>
      </c>
      <c r="AF168" s="372">
        <v>4</v>
      </c>
      <c r="AG168" s="372">
        <v>1</v>
      </c>
      <c r="AH168" s="371"/>
      <c r="AI168" s="371"/>
      <c r="AJ168" s="371"/>
      <c r="AK168" s="371"/>
      <c r="AL168" s="371"/>
      <c r="AM168" s="371"/>
      <c r="AN168" s="371"/>
      <c r="AO168" s="371"/>
      <c r="AP168" s="311"/>
      <c r="AQ168" s="311"/>
      <c r="AR168" s="89"/>
      <c r="AS168" s="311"/>
      <c r="AT168" s="311"/>
      <c r="AU168" s="311"/>
      <c r="AV168" s="311"/>
      <c r="AW168" s="311"/>
      <c r="AX168" s="311"/>
      <c r="AY168" s="311"/>
      <c r="AZ168" s="311"/>
      <c r="BA168" s="311"/>
      <c r="BB168" s="311"/>
      <c r="BC168" s="311"/>
      <c r="BD168" s="311"/>
      <c r="BE168" s="311"/>
      <c r="BF168" s="311"/>
      <c r="BG168" s="311"/>
      <c r="BH168" s="311"/>
      <c r="BI168" s="311"/>
    </row>
    <row r="169" spans="3:61" x14ac:dyDescent="0.35">
      <c r="C169" s="88"/>
      <c r="D169" s="2"/>
      <c r="F169" s="37" t="s">
        <v>1010</v>
      </c>
      <c r="G169" s="373" t="s">
        <v>149</v>
      </c>
      <c r="H169" s="37"/>
      <c r="I169" s="37"/>
      <c r="J169" s="374">
        <v>1</v>
      </c>
      <c r="K169" s="374">
        <v>2</v>
      </c>
      <c r="L169" s="374">
        <v>3</v>
      </c>
      <c r="M169" s="374">
        <v>3</v>
      </c>
      <c r="N169" s="374">
        <v>3</v>
      </c>
      <c r="O169" s="374">
        <v>3</v>
      </c>
      <c r="P169" s="374">
        <v>3</v>
      </c>
      <c r="Q169" s="374">
        <v>4</v>
      </c>
      <c r="R169" s="374">
        <v>5</v>
      </c>
      <c r="S169" s="374">
        <v>5</v>
      </c>
      <c r="T169" s="374">
        <v>5</v>
      </c>
      <c r="U169" s="374">
        <v>5</v>
      </c>
      <c r="V169" s="374">
        <v>5</v>
      </c>
      <c r="W169" s="374">
        <v>6</v>
      </c>
      <c r="X169" s="374">
        <v>6</v>
      </c>
      <c r="Y169" s="374">
        <v>6</v>
      </c>
      <c r="Z169" s="374">
        <v>6</v>
      </c>
      <c r="AA169" s="374">
        <v>6</v>
      </c>
      <c r="AB169" s="374">
        <v>7</v>
      </c>
      <c r="AC169" s="374">
        <v>7</v>
      </c>
      <c r="AD169" s="374">
        <v>7</v>
      </c>
      <c r="AE169" s="374">
        <v>7</v>
      </c>
      <c r="AF169" s="374">
        <v>7</v>
      </c>
      <c r="AG169" s="374">
        <v>8</v>
      </c>
      <c r="AH169" s="374">
        <v>9</v>
      </c>
      <c r="AI169" s="374">
        <v>10</v>
      </c>
      <c r="AJ169" s="374">
        <v>11</v>
      </c>
      <c r="AK169" s="374">
        <v>12</v>
      </c>
      <c r="AL169" s="374">
        <v>13</v>
      </c>
      <c r="AM169" s="374">
        <v>14</v>
      </c>
      <c r="AN169" s="374">
        <v>15</v>
      </c>
      <c r="AO169" s="374">
        <v>16</v>
      </c>
      <c r="AP169" s="311"/>
      <c r="AQ169" s="311"/>
      <c r="AR169" s="89"/>
      <c r="AS169" s="311"/>
      <c r="AT169" s="311"/>
      <c r="AU169" s="311"/>
      <c r="AV169" s="311"/>
      <c r="AW169" s="311"/>
      <c r="AX169" s="311"/>
      <c r="AY169" s="311"/>
      <c r="AZ169" s="311"/>
      <c r="BA169" s="311"/>
      <c r="BB169" s="311"/>
      <c r="BC169" s="311"/>
      <c r="BD169" s="311"/>
      <c r="BE169" s="311"/>
      <c r="BF169" s="311"/>
      <c r="BG169" s="311"/>
      <c r="BH169" s="311"/>
      <c r="BI169" s="311"/>
    </row>
    <row r="170" spans="3:61" x14ac:dyDescent="0.35">
      <c r="C170" s="88"/>
      <c r="D170" s="2"/>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89"/>
      <c r="AS170" s="311"/>
      <c r="AT170" s="311"/>
      <c r="AU170" s="311"/>
      <c r="AV170" s="311"/>
      <c r="AW170" s="311"/>
      <c r="AX170" s="311"/>
      <c r="AY170" s="311"/>
      <c r="AZ170" s="311"/>
      <c r="BA170" s="311"/>
      <c r="BB170" s="311"/>
      <c r="BC170" s="311"/>
      <c r="BD170" s="311"/>
      <c r="BE170" s="311"/>
      <c r="BF170" s="311"/>
      <c r="BG170" s="311"/>
      <c r="BH170" s="311"/>
      <c r="BI170" s="311"/>
    </row>
    <row r="171" spans="3:61" x14ac:dyDescent="0.35">
      <c r="C171" s="88"/>
      <c r="D171" s="2"/>
      <c r="E171" t="s">
        <v>1013</v>
      </c>
      <c r="F171" s="311"/>
      <c r="G171" s="370" t="s">
        <v>149</v>
      </c>
      <c r="H171" s="337">
        <v>2</v>
      </c>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89"/>
      <c r="AS171" s="311"/>
      <c r="AT171" s="311"/>
      <c r="AU171" s="311"/>
      <c r="AV171" s="311"/>
      <c r="AW171" s="311"/>
      <c r="AX171" s="311"/>
      <c r="AY171" s="311"/>
      <c r="AZ171" s="311"/>
      <c r="BA171" s="311"/>
      <c r="BB171" s="311"/>
      <c r="BC171" s="311"/>
      <c r="BD171" s="311"/>
      <c r="BE171" s="311"/>
      <c r="BF171" s="311"/>
      <c r="BG171" s="311"/>
      <c r="BH171" s="311"/>
      <c r="BI171" s="311"/>
    </row>
    <row r="172" spans="3:61" x14ac:dyDescent="0.35">
      <c r="C172" s="88"/>
      <c r="D172" s="2"/>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89"/>
      <c r="AS172" s="311"/>
      <c r="AT172" s="311"/>
      <c r="AU172" s="311"/>
      <c r="AV172" s="311"/>
      <c r="AW172" s="311"/>
      <c r="AX172" s="311"/>
      <c r="AY172" s="311"/>
      <c r="AZ172" s="311"/>
      <c r="BA172" s="311"/>
      <c r="BB172" s="311"/>
      <c r="BC172" s="311"/>
      <c r="BD172" s="311"/>
      <c r="BE172" s="311"/>
      <c r="BF172" s="311"/>
      <c r="BG172" s="311"/>
      <c r="BH172" s="311"/>
      <c r="BI172" s="311"/>
    </row>
    <row r="173" spans="3:61" x14ac:dyDescent="0.35">
      <c r="C173" s="88"/>
      <c r="D173" s="2"/>
      <c r="E173" s="32" t="s">
        <v>1006</v>
      </c>
      <c r="G173" s="311"/>
      <c r="H173" s="311"/>
      <c r="I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89"/>
      <c r="AS173" s="311"/>
      <c r="AT173" s="311"/>
      <c r="AU173" s="311"/>
      <c r="AV173" s="311"/>
      <c r="AW173" s="311"/>
      <c r="AX173" s="311"/>
      <c r="AY173" s="311"/>
      <c r="AZ173" s="311"/>
      <c r="BA173" s="311"/>
      <c r="BB173" s="311"/>
      <c r="BC173" s="311"/>
      <c r="BD173" s="311"/>
      <c r="BE173" s="311"/>
      <c r="BF173" s="311"/>
      <c r="BG173" s="311"/>
      <c r="BH173" s="311"/>
      <c r="BI173" s="311"/>
    </row>
    <row r="174" spans="3:61" x14ac:dyDescent="0.35">
      <c r="C174" s="88"/>
      <c r="D174" s="2"/>
      <c r="E174" s="32"/>
      <c r="F174" s="29" t="s">
        <v>1007</v>
      </c>
      <c r="G174" s="311"/>
      <c r="H174" s="311"/>
      <c r="I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89"/>
      <c r="AS174" s="311"/>
      <c r="AT174" s="311"/>
      <c r="AU174" s="311"/>
      <c r="AV174" s="311"/>
      <c r="AW174" s="311"/>
      <c r="AX174" s="311"/>
      <c r="AY174" s="311"/>
      <c r="AZ174" s="311"/>
      <c r="BA174" s="311"/>
      <c r="BB174" s="311"/>
      <c r="BC174" s="311"/>
      <c r="BD174" s="311"/>
      <c r="BE174" s="311"/>
      <c r="BF174" s="311"/>
      <c r="BG174" s="311"/>
      <c r="BH174" s="311"/>
      <c r="BI174" s="311"/>
    </row>
    <row r="175" spans="3:61" ht="43.5" x14ac:dyDescent="0.35">
      <c r="C175" s="88"/>
      <c r="D175" s="2"/>
      <c r="E175" s="32"/>
      <c r="F175" s="382" t="s">
        <v>1008</v>
      </c>
      <c r="G175" s="311"/>
      <c r="H175" s="311"/>
      <c r="I175" s="311"/>
      <c r="J175" s="114" t="s">
        <v>913</v>
      </c>
      <c r="K175" s="114" t="s">
        <v>831</v>
      </c>
      <c r="L175" s="114" t="s">
        <v>914</v>
      </c>
      <c r="M175" s="114" t="s">
        <v>915</v>
      </c>
      <c r="N175" s="114" t="s">
        <v>916</v>
      </c>
      <c r="O175" s="114" t="s">
        <v>917</v>
      </c>
      <c r="P175" s="114" t="s">
        <v>918</v>
      </c>
      <c r="Q175" s="114" t="s">
        <v>832</v>
      </c>
      <c r="R175" s="114" t="s">
        <v>919</v>
      </c>
      <c r="S175" s="114" t="s">
        <v>920</v>
      </c>
      <c r="T175" s="114" t="s">
        <v>921</v>
      </c>
      <c r="U175" s="114" t="s">
        <v>922</v>
      </c>
      <c r="V175" s="114" t="s">
        <v>923</v>
      </c>
      <c r="W175" s="114" t="s">
        <v>924</v>
      </c>
      <c r="X175" s="114" t="s">
        <v>925</v>
      </c>
      <c r="Y175" s="114" t="s">
        <v>926</v>
      </c>
      <c r="Z175" s="114" t="s">
        <v>927</v>
      </c>
      <c r="AA175" s="114" t="s">
        <v>928</v>
      </c>
      <c r="AB175" s="114" t="s">
        <v>929</v>
      </c>
      <c r="AC175" s="114" t="s">
        <v>930</v>
      </c>
      <c r="AD175" s="114" t="s">
        <v>931</v>
      </c>
      <c r="AE175" s="114" t="s">
        <v>932</v>
      </c>
      <c r="AF175" s="114" t="s">
        <v>933</v>
      </c>
      <c r="AG175" s="114" t="s">
        <v>841</v>
      </c>
      <c r="AH175" s="114" t="s">
        <v>833</v>
      </c>
      <c r="AI175" s="114" t="s">
        <v>834</v>
      </c>
      <c r="AJ175" s="114" t="s">
        <v>835</v>
      </c>
      <c r="AK175" s="114" t="s">
        <v>844</v>
      </c>
      <c r="AL175" s="114" t="s">
        <v>836</v>
      </c>
      <c r="AM175" s="114" t="s">
        <v>843</v>
      </c>
      <c r="AN175" s="114" t="s">
        <v>837</v>
      </c>
      <c r="AO175" s="114" t="s">
        <v>842</v>
      </c>
      <c r="AP175" s="311"/>
      <c r="AQ175" s="311"/>
      <c r="AR175" s="89"/>
      <c r="AS175" s="311"/>
      <c r="AT175" s="311"/>
      <c r="AU175" s="311"/>
      <c r="AV175" s="311"/>
      <c r="AW175" s="311"/>
      <c r="AX175" s="311"/>
      <c r="AY175" s="311"/>
      <c r="AZ175" s="311"/>
      <c r="BA175" s="311"/>
      <c r="BB175" s="311"/>
      <c r="BC175" s="311"/>
      <c r="BD175" s="311"/>
      <c r="BE175" s="311"/>
      <c r="BF175" s="311"/>
      <c r="BG175" s="311"/>
      <c r="BH175" s="311"/>
      <c r="BI175" s="311"/>
    </row>
    <row r="176" spans="3:61" x14ac:dyDescent="0.35">
      <c r="C176" s="88"/>
      <c r="D176" s="2"/>
      <c r="F176" s="23" t="s">
        <v>998</v>
      </c>
      <c r="G176" s="23" t="s">
        <v>149</v>
      </c>
      <c r="H176" s="23"/>
      <c r="I176" s="23"/>
      <c r="J176" s="325">
        <v>1</v>
      </c>
      <c r="K176" s="65"/>
      <c r="L176" s="65"/>
      <c r="M176" s="325">
        <v>1</v>
      </c>
      <c r="N176" s="325">
        <v>2</v>
      </c>
      <c r="O176" s="325">
        <v>3</v>
      </c>
      <c r="P176" s="325">
        <v>4</v>
      </c>
      <c r="Q176" s="65"/>
      <c r="R176" s="65"/>
      <c r="S176" s="325">
        <v>1</v>
      </c>
      <c r="T176" s="325">
        <v>2</v>
      </c>
      <c r="U176" s="325">
        <v>3</v>
      </c>
      <c r="V176" s="325">
        <v>4</v>
      </c>
      <c r="W176" s="65"/>
      <c r="X176" s="325">
        <v>1</v>
      </c>
      <c r="Y176" s="325">
        <v>2</v>
      </c>
      <c r="Z176" s="325">
        <v>3</v>
      </c>
      <c r="AA176" s="325">
        <v>4</v>
      </c>
      <c r="AB176" s="65"/>
      <c r="AC176" s="325">
        <v>1</v>
      </c>
      <c r="AD176" s="325">
        <v>2</v>
      </c>
      <c r="AE176" s="325">
        <v>3</v>
      </c>
      <c r="AF176" s="325">
        <v>4</v>
      </c>
      <c r="AG176" s="325">
        <v>1</v>
      </c>
      <c r="AH176" s="65"/>
      <c r="AI176" s="65"/>
      <c r="AJ176" s="65"/>
      <c r="AK176" s="65"/>
      <c r="AL176" s="65"/>
      <c r="AM176" s="65"/>
      <c r="AN176" s="65"/>
      <c r="AO176" s="65"/>
      <c r="AP176" s="311"/>
      <c r="AQ176" s="311"/>
      <c r="AR176" s="89"/>
      <c r="AS176" s="311"/>
      <c r="AT176" s="311"/>
      <c r="AU176" s="311"/>
      <c r="AV176" s="311"/>
      <c r="AW176" s="311"/>
      <c r="AX176" s="311"/>
      <c r="AY176" s="311"/>
      <c r="AZ176" s="311"/>
      <c r="BA176" s="311"/>
      <c r="BB176" s="311"/>
      <c r="BC176" s="311"/>
      <c r="BD176" s="311"/>
      <c r="BE176" s="311"/>
      <c r="BF176" s="311"/>
      <c r="BG176" s="311"/>
      <c r="BH176" s="311"/>
      <c r="BI176" s="311"/>
    </row>
    <row r="177" spans="2:61" x14ac:dyDescent="0.35">
      <c r="C177" s="88"/>
      <c r="D177" s="2"/>
      <c r="F177" s="311" t="s">
        <v>999</v>
      </c>
      <c r="G177" s="311" t="s">
        <v>149</v>
      </c>
      <c r="H177" s="311"/>
      <c r="I177" s="311"/>
      <c r="J177" s="337">
        <v>1</v>
      </c>
      <c r="K177" s="371"/>
      <c r="L177" s="371"/>
      <c r="M177" s="337">
        <v>1</v>
      </c>
      <c r="N177" s="337">
        <v>1</v>
      </c>
      <c r="O177" s="337">
        <v>2</v>
      </c>
      <c r="P177" s="337">
        <v>3</v>
      </c>
      <c r="Q177" s="371"/>
      <c r="R177" s="371"/>
      <c r="S177" s="337">
        <v>1</v>
      </c>
      <c r="T177" s="337">
        <v>1</v>
      </c>
      <c r="U177" s="337">
        <v>2</v>
      </c>
      <c r="V177" s="337">
        <v>3</v>
      </c>
      <c r="W177" s="371"/>
      <c r="X177" s="337">
        <v>1</v>
      </c>
      <c r="Y177" s="337">
        <v>1</v>
      </c>
      <c r="Z177" s="337">
        <v>2</v>
      </c>
      <c r="AA177" s="337">
        <v>3</v>
      </c>
      <c r="AB177" s="371"/>
      <c r="AC177" s="337">
        <v>1</v>
      </c>
      <c r="AD177" s="337">
        <v>1</v>
      </c>
      <c r="AE177" s="337">
        <v>2</v>
      </c>
      <c r="AF177" s="337">
        <v>3</v>
      </c>
      <c r="AG177" s="337">
        <v>1</v>
      </c>
      <c r="AH177" s="371"/>
      <c r="AI177" s="371"/>
      <c r="AJ177" s="371"/>
      <c r="AK177" s="371"/>
      <c r="AL177" s="371"/>
      <c r="AM177" s="371"/>
      <c r="AN177" s="371"/>
      <c r="AO177" s="371"/>
      <c r="AP177" s="311"/>
      <c r="AQ177" s="311"/>
      <c r="AR177" s="89"/>
      <c r="AS177" s="311"/>
      <c r="AT177" s="311"/>
      <c r="AU177" s="311"/>
      <c r="AV177" s="311"/>
      <c r="AW177" s="311"/>
      <c r="AX177" s="311"/>
      <c r="AY177" s="311"/>
      <c r="AZ177" s="311"/>
      <c r="BA177" s="311"/>
      <c r="BB177" s="311"/>
      <c r="BC177" s="311"/>
      <c r="BD177" s="311"/>
      <c r="BE177" s="311"/>
      <c r="BF177" s="311"/>
      <c r="BG177" s="311"/>
      <c r="BH177" s="311"/>
      <c r="BI177" s="311"/>
    </row>
    <row r="178" spans="2:61" x14ac:dyDescent="0.35">
      <c r="C178" s="88"/>
      <c r="D178" s="2"/>
      <c r="F178" s="311" t="s">
        <v>1000</v>
      </c>
      <c r="G178" s="311" t="s">
        <v>149</v>
      </c>
      <c r="H178" s="311"/>
      <c r="I178" s="311"/>
      <c r="J178" s="337">
        <v>1</v>
      </c>
      <c r="K178" s="371"/>
      <c r="L178" s="371"/>
      <c r="M178" s="337">
        <v>1</v>
      </c>
      <c r="N178" s="337">
        <v>2</v>
      </c>
      <c r="O178" s="337">
        <v>2</v>
      </c>
      <c r="P178" s="337">
        <v>3</v>
      </c>
      <c r="Q178" s="371"/>
      <c r="R178" s="371"/>
      <c r="S178" s="337">
        <v>1</v>
      </c>
      <c r="T178" s="337">
        <v>2</v>
      </c>
      <c r="U178" s="337">
        <v>2</v>
      </c>
      <c r="V178" s="337">
        <v>3</v>
      </c>
      <c r="W178" s="371"/>
      <c r="X178" s="337">
        <v>1</v>
      </c>
      <c r="Y178" s="337">
        <v>2</v>
      </c>
      <c r="Z178" s="337">
        <v>2</v>
      </c>
      <c r="AA178" s="337">
        <v>3</v>
      </c>
      <c r="AB178" s="371"/>
      <c r="AC178" s="337">
        <v>1</v>
      </c>
      <c r="AD178" s="337">
        <v>2</v>
      </c>
      <c r="AE178" s="337">
        <v>2</v>
      </c>
      <c r="AF178" s="337">
        <v>3</v>
      </c>
      <c r="AG178" s="337">
        <v>1</v>
      </c>
      <c r="AH178" s="371"/>
      <c r="AI178" s="371"/>
      <c r="AJ178" s="371"/>
      <c r="AK178" s="371"/>
      <c r="AL178" s="371"/>
      <c r="AM178" s="371"/>
      <c r="AN178" s="371"/>
      <c r="AO178" s="371"/>
      <c r="AP178" s="311"/>
      <c r="AQ178" s="311"/>
      <c r="AR178" s="89"/>
      <c r="AS178" s="311"/>
      <c r="AT178" s="311"/>
      <c r="AU178" s="311"/>
      <c r="AV178" s="311"/>
      <c r="AW178" s="311"/>
      <c r="AX178" s="311"/>
      <c r="AY178" s="311"/>
      <c r="AZ178" s="311"/>
      <c r="BA178" s="311"/>
      <c r="BB178" s="311"/>
      <c r="BC178" s="311"/>
      <c r="BD178" s="311"/>
      <c r="BE178" s="311"/>
      <c r="BF178" s="311"/>
      <c r="BG178" s="311"/>
      <c r="BH178" s="311"/>
      <c r="BI178" s="311"/>
    </row>
    <row r="179" spans="2:61" x14ac:dyDescent="0.35">
      <c r="C179" s="88"/>
      <c r="D179" s="2"/>
      <c r="F179" s="311" t="s">
        <v>1001</v>
      </c>
      <c r="G179" s="311" t="s">
        <v>149</v>
      </c>
      <c r="H179" s="311"/>
      <c r="I179" s="311"/>
      <c r="J179" s="337">
        <v>1</v>
      </c>
      <c r="K179" s="371"/>
      <c r="L179" s="371"/>
      <c r="M179" s="337">
        <v>1</v>
      </c>
      <c r="N179" s="337">
        <v>2</v>
      </c>
      <c r="O179" s="337">
        <v>3</v>
      </c>
      <c r="P179" s="337">
        <v>3</v>
      </c>
      <c r="Q179" s="371"/>
      <c r="R179" s="371"/>
      <c r="S179" s="337">
        <v>1</v>
      </c>
      <c r="T179" s="337">
        <v>2</v>
      </c>
      <c r="U179" s="337">
        <v>3</v>
      </c>
      <c r="V179" s="337">
        <v>3</v>
      </c>
      <c r="W179" s="371"/>
      <c r="X179" s="337">
        <v>1</v>
      </c>
      <c r="Y179" s="337">
        <v>2</v>
      </c>
      <c r="Z179" s="337">
        <v>3</v>
      </c>
      <c r="AA179" s="337">
        <v>3</v>
      </c>
      <c r="AB179" s="371"/>
      <c r="AC179" s="337">
        <v>1</v>
      </c>
      <c r="AD179" s="337">
        <v>2</v>
      </c>
      <c r="AE179" s="337">
        <v>3</v>
      </c>
      <c r="AF179" s="337">
        <v>3</v>
      </c>
      <c r="AG179" s="337">
        <v>1</v>
      </c>
      <c r="AH179" s="371"/>
      <c r="AI179" s="371"/>
      <c r="AJ179" s="371"/>
      <c r="AK179" s="371"/>
      <c r="AL179" s="371"/>
      <c r="AM179" s="371"/>
      <c r="AN179" s="371"/>
      <c r="AO179" s="371"/>
      <c r="AP179" s="311"/>
      <c r="AQ179" s="311"/>
      <c r="AR179" s="89"/>
      <c r="AS179" s="311"/>
      <c r="AT179" s="311"/>
      <c r="AU179" s="311"/>
      <c r="AV179" s="311"/>
      <c r="AW179" s="311"/>
      <c r="AX179" s="311"/>
      <c r="AY179" s="311"/>
      <c r="AZ179" s="311"/>
      <c r="BA179" s="311"/>
      <c r="BB179" s="311"/>
      <c r="BC179" s="311"/>
      <c r="BD179" s="311"/>
      <c r="BE179" s="311"/>
      <c r="BF179" s="311"/>
      <c r="BG179" s="311"/>
      <c r="BH179" s="311"/>
      <c r="BI179" s="311"/>
    </row>
    <row r="180" spans="2:61" x14ac:dyDescent="0.35">
      <c r="C180" s="88"/>
      <c r="D180" s="2"/>
      <c r="F180" s="311" t="s">
        <v>1002</v>
      </c>
      <c r="G180" s="311" t="s">
        <v>149</v>
      </c>
      <c r="H180" s="311"/>
      <c r="I180" s="311"/>
      <c r="J180" s="337">
        <v>1</v>
      </c>
      <c r="K180" s="371"/>
      <c r="L180" s="371"/>
      <c r="M180" s="337">
        <v>1</v>
      </c>
      <c r="N180" s="337">
        <v>1</v>
      </c>
      <c r="O180" s="337">
        <v>2</v>
      </c>
      <c r="P180" s="337">
        <v>2</v>
      </c>
      <c r="Q180" s="371"/>
      <c r="R180" s="371"/>
      <c r="S180" s="337">
        <v>1</v>
      </c>
      <c r="T180" s="337">
        <v>1</v>
      </c>
      <c r="U180" s="337">
        <v>2</v>
      </c>
      <c r="V180" s="337">
        <v>2</v>
      </c>
      <c r="W180" s="371"/>
      <c r="X180" s="337">
        <v>1</v>
      </c>
      <c r="Y180" s="337">
        <v>1</v>
      </c>
      <c r="Z180" s="337">
        <v>2</v>
      </c>
      <c r="AA180" s="337">
        <v>2</v>
      </c>
      <c r="AB180" s="371"/>
      <c r="AC180" s="337">
        <v>1</v>
      </c>
      <c r="AD180" s="337">
        <v>1</v>
      </c>
      <c r="AE180" s="337">
        <v>2</v>
      </c>
      <c r="AF180" s="337">
        <v>2</v>
      </c>
      <c r="AG180" s="337">
        <v>1</v>
      </c>
      <c r="AH180" s="371"/>
      <c r="AI180" s="371"/>
      <c r="AJ180" s="371"/>
      <c r="AK180" s="371"/>
      <c r="AL180" s="371"/>
      <c r="AM180" s="371"/>
      <c r="AN180" s="371"/>
      <c r="AO180" s="371"/>
      <c r="AP180" s="311"/>
      <c r="AQ180" s="311"/>
      <c r="AR180" s="89"/>
      <c r="AS180" s="311"/>
      <c r="AT180" s="311"/>
      <c r="AU180" s="311"/>
      <c r="AV180" s="311"/>
      <c r="AW180" s="311"/>
      <c r="AX180" s="311"/>
      <c r="AY180" s="311"/>
      <c r="AZ180" s="311"/>
      <c r="BA180" s="311"/>
      <c r="BB180" s="311"/>
      <c r="BC180" s="311"/>
      <c r="BD180" s="311"/>
      <c r="BE180" s="311"/>
      <c r="BF180" s="311"/>
      <c r="BG180" s="311"/>
      <c r="BH180" s="311"/>
      <c r="BI180" s="311"/>
    </row>
    <row r="181" spans="2:61" x14ac:dyDescent="0.35">
      <c r="C181" s="88"/>
      <c r="D181" s="2"/>
      <c r="F181" s="311" t="s">
        <v>1003</v>
      </c>
      <c r="G181" s="311" t="s">
        <v>149</v>
      </c>
      <c r="H181" s="311"/>
      <c r="I181" s="311"/>
      <c r="J181" s="337">
        <v>1</v>
      </c>
      <c r="K181" s="371"/>
      <c r="L181" s="371"/>
      <c r="M181" s="337">
        <v>1</v>
      </c>
      <c r="N181" s="337">
        <v>1</v>
      </c>
      <c r="O181" s="337">
        <v>1</v>
      </c>
      <c r="P181" s="337">
        <v>2</v>
      </c>
      <c r="Q181" s="371"/>
      <c r="R181" s="371"/>
      <c r="S181" s="337">
        <v>1</v>
      </c>
      <c r="T181" s="337">
        <v>1</v>
      </c>
      <c r="U181" s="337">
        <v>1</v>
      </c>
      <c r="V181" s="337">
        <v>2</v>
      </c>
      <c r="W181" s="371"/>
      <c r="X181" s="337">
        <v>1</v>
      </c>
      <c r="Y181" s="337">
        <v>1</v>
      </c>
      <c r="Z181" s="337">
        <v>1</v>
      </c>
      <c r="AA181" s="337">
        <v>2</v>
      </c>
      <c r="AB181" s="371"/>
      <c r="AC181" s="337">
        <v>1</v>
      </c>
      <c r="AD181" s="337">
        <v>1</v>
      </c>
      <c r="AE181" s="337">
        <v>1</v>
      </c>
      <c r="AF181" s="337">
        <v>2</v>
      </c>
      <c r="AG181" s="337">
        <v>1</v>
      </c>
      <c r="AH181" s="371"/>
      <c r="AI181" s="371"/>
      <c r="AJ181" s="371"/>
      <c r="AK181" s="371"/>
      <c r="AL181" s="371"/>
      <c r="AM181" s="371"/>
      <c r="AN181" s="371"/>
      <c r="AO181" s="371"/>
      <c r="AP181" s="311"/>
      <c r="AQ181" s="311"/>
      <c r="AR181" s="89"/>
      <c r="AS181" s="311"/>
      <c r="AT181" s="311"/>
      <c r="AU181" s="311"/>
      <c r="AV181" s="311"/>
      <c r="AW181" s="311"/>
      <c r="AX181" s="311"/>
      <c r="AY181" s="311"/>
      <c r="AZ181" s="311"/>
      <c r="BA181" s="311"/>
      <c r="BB181" s="311"/>
      <c r="BC181" s="311"/>
      <c r="BD181" s="311"/>
      <c r="BE181" s="311"/>
      <c r="BF181" s="311"/>
      <c r="BG181" s="311"/>
      <c r="BH181" s="311"/>
      <c r="BI181" s="311"/>
    </row>
    <row r="182" spans="2:61" x14ac:dyDescent="0.35">
      <c r="C182" s="88"/>
      <c r="D182" s="2"/>
      <c r="F182" s="311" t="s">
        <v>1004</v>
      </c>
      <c r="G182" s="311" t="s">
        <v>149</v>
      </c>
      <c r="H182" s="311"/>
      <c r="I182" s="311"/>
      <c r="J182" s="337">
        <v>1</v>
      </c>
      <c r="K182" s="371"/>
      <c r="L182" s="371"/>
      <c r="M182" s="337">
        <v>1</v>
      </c>
      <c r="N182" s="337">
        <v>2</v>
      </c>
      <c r="O182" s="337">
        <v>2</v>
      </c>
      <c r="P182" s="337">
        <v>2</v>
      </c>
      <c r="Q182" s="371"/>
      <c r="R182" s="371"/>
      <c r="S182" s="337">
        <v>1</v>
      </c>
      <c r="T182" s="337">
        <v>2</v>
      </c>
      <c r="U182" s="337">
        <v>2</v>
      </c>
      <c r="V182" s="337">
        <v>2</v>
      </c>
      <c r="W182" s="371"/>
      <c r="X182" s="337">
        <v>1</v>
      </c>
      <c r="Y182" s="337">
        <v>2</v>
      </c>
      <c r="Z182" s="337">
        <v>2</v>
      </c>
      <c r="AA182" s="337">
        <v>2</v>
      </c>
      <c r="AB182" s="371"/>
      <c r="AC182" s="337">
        <v>1</v>
      </c>
      <c r="AD182" s="337">
        <v>2</v>
      </c>
      <c r="AE182" s="337">
        <v>2</v>
      </c>
      <c r="AF182" s="337">
        <v>2</v>
      </c>
      <c r="AG182" s="337">
        <v>1</v>
      </c>
      <c r="AH182" s="371"/>
      <c r="AI182" s="371"/>
      <c r="AJ182" s="371"/>
      <c r="AK182" s="371"/>
      <c r="AL182" s="371"/>
      <c r="AM182" s="371"/>
      <c r="AN182" s="371"/>
      <c r="AO182" s="371"/>
      <c r="AP182" s="311"/>
      <c r="AQ182" s="311"/>
      <c r="AR182" s="89"/>
      <c r="AS182" s="311"/>
      <c r="AT182" s="311"/>
      <c r="AU182" s="311"/>
      <c r="AV182" s="311"/>
      <c r="AW182" s="311"/>
      <c r="AX182" s="311"/>
      <c r="AY182" s="311"/>
      <c r="AZ182" s="311"/>
      <c r="BA182" s="311"/>
      <c r="BB182" s="311"/>
      <c r="BC182" s="311"/>
      <c r="BD182" s="311"/>
      <c r="BE182" s="311"/>
      <c r="BF182" s="311"/>
      <c r="BG182" s="311"/>
      <c r="BH182" s="311"/>
      <c r="BI182" s="311"/>
    </row>
    <row r="183" spans="2:61" x14ac:dyDescent="0.35">
      <c r="C183" s="88"/>
      <c r="D183" s="2"/>
      <c r="F183" s="37" t="s">
        <v>1005</v>
      </c>
      <c r="G183" s="37" t="s">
        <v>149</v>
      </c>
      <c r="H183" s="37"/>
      <c r="I183" s="37"/>
      <c r="J183" s="326">
        <v>1</v>
      </c>
      <c r="K183" s="68"/>
      <c r="L183" s="68"/>
      <c r="M183" s="326">
        <v>1</v>
      </c>
      <c r="N183" s="326">
        <v>1</v>
      </c>
      <c r="O183" s="326">
        <v>1</v>
      </c>
      <c r="P183" s="326">
        <v>1</v>
      </c>
      <c r="Q183" s="68"/>
      <c r="R183" s="68"/>
      <c r="S183" s="326">
        <v>1</v>
      </c>
      <c r="T183" s="326">
        <v>1</v>
      </c>
      <c r="U183" s="326">
        <v>1</v>
      </c>
      <c r="V183" s="326">
        <v>1</v>
      </c>
      <c r="W183" s="68"/>
      <c r="X183" s="326">
        <v>1</v>
      </c>
      <c r="Y183" s="326">
        <v>1</v>
      </c>
      <c r="Z183" s="326">
        <v>1</v>
      </c>
      <c r="AA183" s="326">
        <v>1</v>
      </c>
      <c r="AB183" s="68"/>
      <c r="AC183" s="326">
        <v>1</v>
      </c>
      <c r="AD183" s="326">
        <v>1</v>
      </c>
      <c r="AE183" s="326">
        <v>1</v>
      </c>
      <c r="AF183" s="326">
        <v>1</v>
      </c>
      <c r="AG183" s="326">
        <v>1</v>
      </c>
      <c r="AH183" s="68"/>
      <c r="AI183" s="68"/>
      <c r="AJ183" s="68"/>
      <c r="AK183" s="68"/>
      <c r="AL183" s="68"/>
      <c r="AM183" s="68"/>
      <c r="AN183" s="68"/>
      <c r="AO183" s="68"/>
      <c r="AP183" s="311"/>
      <c r="AQ183" s="311"/>
      <c r="AR183" s="89"/>
      <c r="AS183" s="311"/>
      <c r="AT183" s="311"/>
      <c r="AU183" s="311"/>
      <c r="AV183" s="311"/>
      <c r="AW183" s="311"/>
      <c r="AX183" s="311"/>
      <c r="AY183" s="311"/>
      <c r="AZ183" s="311"/>
      <c r="BA183" s="311"/>
      <c r="BB183" s="311"/>
      <c r="BC183" s="311"/>
      <c r="BD183" s="311"/>
      <c r="BE183" s="311"/>
      <c r="BF183" s="311"/>
      <c r="BG183" s="311"/>
      <c r="BH183" s="311"/>
      <c r="BI183" s="311"/>
    </row>
    <row r="184" spans="2:61" x14ac:dyDescent="0.35">
      <c r="C184" s="88"/>
      <c r="D184" s="2"/>
      <c r="E184" s="32"/>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89"/>
      <c r="AS184" s="311"/>
      <c r="AT184" s="311"/>
      <c r="AU184" s="311"/>
      <c r="AV184" s="311"/>
      <c r="AW184" s="311"/>
      <c r="AX184" s="311"/>
      <c r="AY184" s="311"/>
      <c r="AZ184" s="311"/>
      <c r="BA184" s="311"/>
      <c r="BB184" s="311"/>
      <c r="BC184" s="311"/>
      <c r="BD184" s="311"/>
      <c r="BE184" s="311"/>
      <c r="BF184" s="311"/>
      <c r="BG184" s="311"/>
      <c r="BH184" s="311"/>
      <c r="BI184" s="311"/>
    </row>
    <row r="185" spans="2:61" x14ac:dyDescent="0.35">
      <c r="B185" s="30" t="s">
        <v>231</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2:61" x14ac:dyDescent="0.35">
      <c r="F186" s="3"/>
      <c r="G186" s="3"/>
      <c r="H186" s="3"/>
      <c r="I186" s="3"/>
    </row>
    <row r="187" spans="2:61" x14ac:dyDescent="0.35">
      <c r="E187" t="s">
        <v>232</v>
      </c>
      <c r="G187" s="6" t="s">
        <v>55</v>
      </c>
      <c r="H187" s="24">
        <f t="array" ref="H187">SUM(IF(ISERROR(H15:Y146), 1))</f>
        <v>0</v>
      </c>
      <c r="I187" s="3"/>
    </row>
    <row r="188" spans="2:61" x14ac:dyDescent="0.35">
      <c r="I188" s="3"/>
    </row>
    <row r="189" spans="2:61" x14ac:dyDescent="0.35">
      <c r="E189" s="32" t="s">
        <v>233</v>
      </c>
      <c r="I189" s="3"/>
    </row>
    <row r="190" spans="2:61" x14ac:dyDescent="0.35">
      <c r="F190" s="23" t="s">
        <v>234</v>
      </c>
      <c r="G190" s="73" t="s">
        <v>55</v>
      </c>
      <c r="H190" s="74">
        <f>SUM(J190:Y190)</f>
        <v>0</v>
      </c>
      <c r="I190" s="69"/>
      <c r="J190" s="74">
        <f t="shared" ref="J190:K190" si="0">IF( OR( AND(J105 = TRUE, NOT(ISBLANK(J106))), AND(J105 = FALSE, J106 = 0)), 0, 1)</f>
        <v>0</v>
      </c>
      <c r="K190" s="74">
        <f t="shared" si="0"/>
        <v>0</v>
      </c>
      <c r="L190" s="74">
        <f t="shared" ref="L190:M190" si="1">IF( OR( AND(L105 = TRUE, NOT(ISBLANK(L106))), AND(L105 = FALSE, L106 = 0)), 0, 1)</f>
        <v>0</v>
      </c>
      <c r="M190" s="74">
        <f t="shared" si="1"/>
        <v>0</v>
      </c>
      <c r="N190" s="74">
        <f t="shared" ref="N190:P190" si="2">IF( OR( AND(N105 = TRUE, NOT(ISBLANK(N106))), AND(N105 = FALSE, N106 = 0)), 0, 1)</f>
        <v>0</v>
      </c>
      <c r="O190" s="74">
        <f t="shared" si="2"/>
        <v>0</v>
      </c>
      <c r="P190" s="74">
        <f t="shared" si="2"/>
        <v>0</v>
      </c>
      <c r="Q190" s="74">
        <f t="shared" ref="Q190:S190" si="3">IF( OR( AND(Q105 = TRUE, NOT(ISBLANK(Q106))), AND(Q105 = FALSE, Q106 = 0)), 0, 1)</f>
        <v>0</v>
      </c>
      <c r="R190" s="74">
        <f t="shared" si="3"/>
        <v>0</v>
      </c>
      <c r="S190" s="74">
        <f t="shared" si="3"/>
        <v>0</v>
      </c>
      <c r="T190" s="74">
        <f t="shared" ref="T190:U190" si="4">IF( OR( AND(T105 = TRUE, NOT(ISBLANK(T106))), AND(T105 = FALSE, T106 = 0)), 0, 1)</f>
        <v>0</v>
      </c>
      <c r="U190" s="74">
        <f t="shared" si="4"/>
        <v>0</v>
      </c>
      <c r="V190" s="74">
        <f t="shared" ref="V190:W190" si="5">IF( OR( AND(V105 = TRUE, NOT(ISBLANK(V106))), AND(V105 = FALSE, V106 = 0)), 0, 1)</f>
        <v>0</v>
      </c>
      <c r="W190" s="74">
        <f t="shared" si="5"/>
        <v>0</v>
      </c>
      <c r="X190" s="74">
        <f t="shared" ref="X190:Y190" si="6">IF( OR( AND(X105 = TRUE, NOT(ISBLANK(X106))), AND(X105 = FALSE, X106 = 0)), 0, 1)</f>
        <v>0</v>
      </c>
      <c r="Y190" s="74">
        <f t="shared" si="6"/>
        <v>0</v>
      </c>
    </row>
    <row r="191" spans="2:61" x14ac:dyDescent="0.35">
      <c r="F191" t="s">
        <v>235</v>
      </c>
      <c r="G191" s="6" t="s">
        <v>55</v>
      </c>
      <c r="H191" s="24">
        <f>SUM(J191:Y191)</f>
        <v>0</v>
      </c>
      <c r="I191" s="3"/>
      <c r="J191" s="24">
        <f t="shared" ref="J191:K191" si="7">IF( OR( AND(J109 = TRUE, NOT(ISBLANK(J110))), AND(J109 = FALSE, J110 = 0)), 0, 1)</f>
        <v>0</v>
      </c>
      <c r="K191" s="24">
        <f t="shared" si="7"/>
        <v>0</v>
      </c>
      <c r="L191" s="24">
        <f t="shared" ref="L191:M191" si="8">IF( OR( AND(L109 = TRUE, NOT(ISBLANK(L110))), AND(L109 = FALSE, L110 = 0)), 0, 1)</f>
        <v>0</v>
      </c>
      <c r="M191" s="24">
        <f t="shared" si="8"/>
        <v>0</v>
      </c>
      <c r="N191" s="24">
        <f t="shared" ref="N191:P191" si="9">IF( OR( AND(N109 = TRUE, NOT(ISBLANK(N110))), AND(N109 = FALSE, N110 = 0)), 0, 1)</f>
        <v>0</v>
      </c>
      <c r="O191" s="24">
        <f t="shared" si="9"/>
        <v>0</v>
      </c>
      <c r="P191" s="24">
        <f t="shared" si="9"/>
        <v>0</v>
      </c>
      <c r="Q191" s="24">
        <f t="shared" ref="Q191:S191" si="10">IF( OR( AND(Q109 = TRUE, NOT(ISBLANK(Q110))), AND(Q109 = FALSE, Q110 = 0)), 0, 1)</f>
        <v>0</v>
      </c>
      <c r="R191" s="24">
        <f t="shared" si="10"/>
        <v>0</v>
      </c>
      <c r="S191" s="24">
        <f t="shared" si="10"/>
        <v>0</v>
      </c>
      <c r="T191" s="24">
        <f t="shared" ref="T191:U191" si="11">IF( OR( AND(T109 = TRUE, NOT(ISBLANK(T110))), AND(T109 = FALSE, T110 = 0)), 0, 1)</f>
        <v>0</v>
      </c>
      <c r="U191" s="24">
        <f t="shared" si="11"/>
        <v>0</v>
      </c>
      <c r="V191" s="24">
        <f t="shared" ref="V191:W191" si="12">IF( OR( AND(V109 = TRUE, NOT(ISBLANK(V110))), AND(V109 = FALSE, V110 = 0)), 0, 1)</f>
        <v>0</v>
      </c>
      <c r="W191" s="24">
        <f t="shared" si="12"/>
        <v>0</v>
      </c>
      <c r="X191" s="24">
        <f t="shared" ref="X191:Y191" si="13">IF( OR( AND(X109 = TRUE, NOT(ISBLANK(X110))), AND(X109 = FALSE, X110 = 0)), 0, 1)</f>
        <v>0</v>
      </c>
      <c r="Y191" s="24">
        <f t="shared" si="13"/>
        <v>0</v>
      </c>
    </row>
    <row r="192" spans="2:61" x14ac:dyDescent="0.35">
      <c r="F192" t="s">
        <v>236</v>
      </c>
      <c r="G192" s="6" t="s">
        <v>55</v>
      </c>
      <c r="H192" s="24">
        <f>SUM(J192:Y192)</f>
        <v>0</v>
      </c>
      <c r="I192" s="3"/>
      <c r="J192" s="24">
        <f t="shared" ref="J192:K192" si="14">IF( OR( AND(J113 = TRUE, NOT(ISBLANK(J114))), AND(J113 = FALSE, J114 = 0)), 0, 1)</f>
        <v>0</v>
      </c>
      <c r="K192" s="24">
        <f t="shared" si="14"/>
        <v>0</v>
      </c>
      <c r="L192" s="24">
        <f t="shared" ref="L192:M192" si="15">IF( OR( AND(L113 = TRUE, NOT(ISBLANK(L114))), AND(L113 = FALSE, L114 = 0)), 0, 1)</f>
        <v>0</v>
      </c>
      <c r="M192" s="24">
        <f t="shared" si="15"/>
        <v>0</v>
      </c>
      <c r="N192" s="24">
        <f t="shared" ref="N192:P192" si="16">IF( OR( AND(N113 = TRUE, NOT(ISBLANK(N114))), AND(N113 = FALSE, N114 = 0)), 0, 1)</f>
        <v>0</v>
      </c>
      <c r="O192" s="24">
        <f t="shared" si="16"/>
        <v>0</v>
      </c>
      <c r="P192" s="24">
        <f t="shared" si="16"/>
        <v>0</v>
      </c>
      <c r="Q192" s="24">
        <f t="shared" ref="Q192:S192" si="17">IF( OR( AND(Q113 = TRUE, NOT(ISBLANK(Q114))), AND(Q113 = FALSE, Q114 = 0)), 0, 1)</f>
        <v>0</v>
      </c>
      <c r="R192" s="24">
        <f t="shared" si="17"/>
        <v>0</v>
      </c>
      <c r="S192" s="24">
        <f t="shared" si="17"/>
        <v>0</v>
      </c>
      <c r="T192" s="24">
        <f t="shared" ref="T192:U192" si="18">IF( OR( AND(T113 = TRUE, NOT(ISBLANK(T114))), AND(T113 = FALSE, T114 = 0)), 0, 1)</f>
        <v>0</v>
      </c>
      <c r="U192" s="24">
        <f t="shared" si="18"/>
        <v>0</v>
      </c>
      <c r="V192" s="24">
        <f t="shared" ref="V192:W192" si="19">IF( OR( AND(V113 = TRUE, NOT(ISBLANK(V114))), AND(V113 = FALSE, V114 = 0)), 0, 1)</f>
        <v>0</v>
      </c>
      <c r="W192" s="24">
        <f t="shared" si="19"/>
        <v>0</v>
      </c>
      <c r="X192" s="24">
        <f t="shared" ref="X192:Y192" si="20">IF( OR( AND(X113 = TRUE, NOT(ISBLANK(X114))), AND(X113 = FALSE, X114 = 0)), 0, 1)</f>
        <v>0</v>
      </c>
      <c r="Y192" s="24">
        <f t="shared" si="20"/>
        <v>0</v>
      </c>
    </row>
    <row r="193" spans="2:43" x14ac:dyDescent="0.35">
      <c r="F193" t="s">
        <v>237</v>
      </c>
      <c r="G193" s="6" t="s">
        <v>55</v>
      </c>
      <c r="H193" s="24">
        <f>SUM(J193:Y193)</f>
        <v>0</v>
      </c>
      <c r="I193" s="3"/>
      <c r="J193" s="24">
        <f t="shared" ref="J193:K193" si="21">IF( OR( AND(J117 = TRUE, NOT(ISBLANK(J118))), AND(J117 = FALSE, J118 = 0)), 0, 1)</f>
        <v>0</v>
      </c>
      <c r="K193" s="24">
        <f t="shared" si="21"/>
        <v>0</v>
      </c>
      <c r="L193" s="24">
        <f t="shared" ref="L193:M193" si="22">IF( OR( AND(L117 = TRUE, NOT(ISBLANK(L118))), AND(L117 = FALSE, L118 = 0)), 0, 1)</f>
        <v>0</v>
      </c>
      <c r="M193" s="24">
        <f t="shared" si="22"/>
        <v>0</v>
      </c>
      <c r="N193" s="24">
        <f t="shared" ref="N193:P193" si="23">IF( OR( AND(N117 = TRUE, NOT(ISBLANK(N118))), AND(N117 = FALSE, N118 = 0)), 0, 1)</f>
        <v>0</v>
      </c>
      <c r="O193" s="24">
        <f t="shared" si="23"/>
        <v>0</v>
      </c>
      <c r="P193" s="24">
        <f t="shared" si="23"/>
        <v>0</v>
      </c>
      <c r="Q193" s="24">
        <f t="shared" ref="Q193:S193" si="24">IF( OR( AND(Q117 = TRUE, NOT(ISBLANK(Q118))), AND(Q117 = FALSE, Q118 = 0)), 0, 1)</f>
        <v>0</v>
      </c>
      <c r="R193" s="24">
        <f t="shared" si="24"/>
        <v>0</v>
      </c>
      <c r="S193" s="24">
        <f t="shared" si="24"/>
        <v>0</v>
      </c>
      <c r="T193" s="24">
        <f t="shared" ref="T193:U193" si="25">IF( OR( AND(T117 = TRUE, NOT(ISBLANK(T118))), AND(T117 = FALSE, T118 = 0)), 0, 1)</f>
        <v>0</v>
      </c>
      <c r="U193" s="24">
        <f t="shared" si="25"/>
        <v>0</v>
      </c>
      <c r="V193" s="24">
        <f t="shared" ref="V193:W193" si="26">IF( OR( AND(V117 = TRUE, NOT(ISBLANK(V118))), AND(V117 = FALSE, V118 = 0)), 0, 1)</f>
        <v>0</v>
      </c>
      <c r="W193" s="24">
        <f t="shared" si="26"/>
        <v>0</v>
      </c>
      <c r="X193" s="24">
        <f t="shared" ref="X193:Y193" si="27">IF( OR( AND(X117 = TRUE, NOT(ISBLANK(X118))), AND(X117 = FALSE, X118 = 0)), 0, 1)</f>
        <v>0</v>
      </c>
      <c r="Y193" s="24">
        <f t="shared" si="27"/>
        <v>0</v>
      </c>
    </row>
    <row r="194" spans="2:43" x14ac:dyDescent="0.35">
      <c r="F194" s="37" t="s">
        <v>238</v>
      </c>
      <c r="G194" s="50" t="s">
        <v>55</v>
      </c>
      <c r="H194" s="75">
        <f>SUM(J194:Y194)</f>
        <v>0</v>
      </c>
      <c r="I194" s="76"/>
      <c r="J194" s="75">
        <f t="shared" ref="J194:K194" si="28">IF( OR( AND(J121 = TRUE, NOT(ISBLANK(J122))), AND(J121 = FALSE, J122 = 0)), 0, 1)</f>
        <v>0</v>
      </c>
      <c r="K194" s="75">
        <f t="shared" si="28"/>
        <v>0</v>
      </c>
      <c r="L194" s="75">
        <f t="shared" ref="L194:M194" si="29">IF( OR( AND(L121 = TRUE, NOT(ISBLANK(L122))), AND(L121 = FALSE, L122 = 0)), 0, 1)</f>
        <v>0</v>
      </c>
      <c r="M194" s="75">
        <f t="shared" si="29"/>
        <v>0</v>
      </c>
      <c r="N194" s="75">
        <f t="shared" ref="N194:P194" si="30">IF( OR( AND(N121 = TRUE, NOT(ISBLANK(N122))), AND(N121 = FALSE, N122 = 0)), 0, 1)</f>
        <v>0</v>
      </c>
      <c r="O194" s="75">
        <f t="shared" si="30"/>
        <v>0</v>
      </c>
      <c r="P194" s="75">
        <f t="shared" si="30"/>
        <v>0</v>
      </c>
      <c r="Q194" s="75">
        <f t="shared" ref="Q194:S194" si="31">IF( OR( AND(Q121 = TRUE, NOT(ISBLANK(Q122))), AND(Q121 = FALSE, Q122 = 0)), 0, 1)</f>
        <v>0</v>
      </c>
      <c r="R194" s="75">
        <f t="shared" si="31"/>
        <v>0</v>
      </c>
      <c r="S194" s="75">
        <f t="shared" si="31"/>
        <v>0</v>
      </c>
      <c r="T194" s="75">
        <f t="shared" ref="T194:U194" si="32">IF( OR( AND(T121 = TRUE, NOT(ISBLANK(T122))), AND(T121 = FALSE, T122 = 0)), 0, 1)</f>
        <v>0</v>
      </c>
      <c r="U194" s="75">
        <f t="shared" si="32"/>
        <v>0</v>
      </c>
      <c r="V194" s="75">
        <f t="shared" ref="V194:W194" si="33">IF( OR( AND(V121 = TRUE, NOT(ISBLANK(V122))), AND(V121 = FALSE, V122 = 0)), 0, 1)</f>
        <v>0</v>
      </c>
      <c r="W194" s="75">
        <f t="shared" si="33"/>
        <v>0</v>
      </c>
      <c r="X194" s="75">
        <f t="shared" ref="X194:Y194" si="34">IF( OR( AND(X121 = TRUE, NOT(ISBLANK(X122))), AND(X121 = FALSE, X122 = 0)), 0, 1)</f>
        <v>0</v>
      </c>
      <c r="Y194" s="75">
        <f t="shared" si="34"/>
        <v>0</v>
      </c>
    </row>
    <row r="195" spans="2:43" x14ac:dyDescent="0.35">
      <c r="F195" s="3"/>
      <c r="G195" s="3"/>
      <c r="H195" s="3"/>
      <c r="I195" s="3"/>
    </row>
    <row r="196" spans="2:43" x14ac:dyDescent="0.35">
      <c r="E196" t="s">
        <v>239</v>
      </c>
      <c r="G196" s="6" t="s">
        <v>55</v>
      </c>
      <c r="H196" s="103">
        <f>H187 + SUM(H190:H194)</f>
        <v>0</v>
      </c>
      <c r="I196" s="3"/>
    </row>
    <row r="197" spans="2:43" x14ac:dyDescent="0.35">
      <c r="I197" s="3"/>
    </row>
    <row r="198" spans="2:43" x14ac:dyDescent="0.35">
      <c r="B198" s="30" t="s">
        <v>106</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2:43" x14ac:dyDescent="0.35">
      <c r="F199" s="3"/>
      <c r="G199" s="3"/>
      <c r="H199" s="3"/>
      <c r="I199" s="3"/>
    </row>
    <row r="200" spans="2:43" x14ac:dyDescent="0.35">
      <c r="F200" s="3"/>
      <c r="G200" s="3"/>
      <c r="H200" s="3"/>
      <c r="I200" s="3"/>
    </row>
  </sheetData>
  <sheetProtection sheet="1" objects="1" formatCells="0" formatColumns="0" formatRows="0" sort="0" autoFilter="0"/>
  <conditionalFormatting sqref="H187">
    <cfRule type="cellIs" dxfId="226" priority="31" operator="greaterThan">
      <formula>0</formula>
    </cfRule>
  </conditionalFormatting>
  <conditionalFormatting sqref="H190:H194">
    <cfRule type="cellIs" dxfId="225" priority="29" operator="greaterThan">
      <formula>0</formula>
    </cfRule>
  </conditionalFormatting>
  <conditionalFormatting sqref="H196">
    <cfRule type="cellIs" dxfId="224" priority="26" operator="greaterThan">
      <formula>0</formula>
    </cfRule>
  </conditionalFormatting>
  <conditionalFormatting sqref="A4:I4 AC4:XFD4">
    <cfRule type="expression" dxfId="223" priority="25">
      <formula>LEFT($A$4,1) &lt;&gt; "0"</formula>
    </cfRule>
  </conditionalFormatting>
  <conditionalFormatting sqref="N190:P194">
    <cfRule type="cellIs" dxfId="222" priority="23" operator="greaterThan">
      <formula>0</formula>
    </cfRule>
  </conditionalFormatting>
  <conditionalFormatting sqref="N4:P4">
    <cfRule type="expression" dxfId="221" priority="22">
      <formula>LEFT($A$4,1) &lt;&gt; "0"</formula>
    </cfRule>
  </conditionalFormatting>
  <conditionalFormatting sqref="L190:M194">
    <cfRule type="cellIs" dxfId="220" priority="20" operator="greaterThan">
      <formula>0</formula>
    </cfRule>
  </conditionalFormatting>
  <conditionalFormatting sqref="L4:M4">
    <cfRule type="expression" dxfId="219" priority="19">
      <formula>LEFT($A$4,1) &lt;&gt; "0"</formula>
    </cfRule>
  </conditionalFormatting>
  <conditionalFormatting sqref="J190:K194">
    <cfRule type="cellIs" dxfId="218" priority="17" operator="greaterThan">
      <formula>0</formula>
    </cfRule>
  </conditionalFormatting>
  <conditionalFormatting sqref="J4:K4">
    <cfRule type="expression" dxfId="217" priority="16">
      <formula>LEFT($A$4,1) &lt;&gt; "0"</formula>
    </cfRule>
  </conditionalFormatting>
  <conditionalFormatting sqref="Q190:Q194">
    <cfRule type="cellIs" dxfId="216" priority="14" operator="greaterThan">
      <formula>0</formula>
    </cfRule>
  </conditionalFormatting>
  <conditionalFormatting sqref="Q4">
    <cfRule type="expression" dxfId="215" priority="13">
      <formula>LEFT($A$4,1) &lt;&gt; "0"</formula>
    </cfRule>
  </conditionalFormatting>
  <conditionalFormatting sqref="R190:S194">
    <cfRule type="cellIs" dxfId="214" priority="11" operator="greaterThan">
      <formula>0</formula>
    </cfRule>
  </conditionalFormatting>
  <conditionalFormatting sqref="R4:S4">
    <cfRule type="expression" dxfId="213" priority="10">
      <formula>LEFT($A$4,1) &lt;&gt; "0"</formula>
    </cfRule>
  </conditionalFormatting>
  <conditionalFormatting sqref="T190:U194">
    <cfRule type="cellIs" dxfId="212" priority="8" operator="greaterThan">
      <formula>0</formula>
    </cfRule>
  </conditionalFormatting>
  <conditionalFormatting sqref="T4:U4">
    <cfRule type="expression" dxfId="211" priority="7">
      <formula>LEFT($A$4,1) &lt;&gt; "0"</formula>
    </cfRule>
  </conditionalFormatting>
  <conditionalFormatting sqref="V190:W194">
    <cfRule type="cellIs" dxfId="210" priority="5" operator="greaterThan">
      <formula>0</formula>
    </cfRule>
  </conditionalFormatting>
  <conditionalFormatting sqref="V4:W4">
    <cfRule type="expression" dxfId="209" priority="4">
      <formula>LEFT($A$4,1) &lt;&gt; "0"</formula>
    </cfRule>
  </conditionalFormatting>
  <conditionalFormatting sqref="X190:Y194">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3000000}">
      <formula1>0</formula1>
      <formula2>1</formula2>
    </dataValidation>
    <dataValidation type="whole" allowBlank="1" showInputMessage="1" showErrorMessage="1" sqref="L145 J145 J149:P149" xr:uid="{00000000-0002-0000-0500-000005000000}">
      <formula1>0</formula1>
      <formula2>33</formula2>
    </dataValidation>
    <dataValidation type="decimal" allowBlank="1" showInputMessage="1" showErrorMessage="1" sqref="H35" xr:uid="{00000000-0002-0000-0500-000006000000}">
      <formula1>0</formula1>
      <formula2>999999</formula2>
    </dataValidation>
    <dataValidation type="decimal" allowBlank="1" showInputMessage="1" showErrorMessage="1" sqref="H37" xr:uid="{00000000-0002-0000-0500-000007000000}">
      <formula1>0.001</formula1>
      <formula2>1</formula2>
    </dataValidation>
    <dataValidation type="decimal" allowBlank="1" showInputMessage="1" showErrorMessage="1" sqref="H41" xr:uid="{00000000-0002-0000-0500-000008000000}">
      <formula1>0.001</formula1>
      <formula2>999999.999</formula2>
    </dataValidation>
    <dataValidation type="whole" allowBlank="1" showInputMessage="1" showErrorMessage="1" sqref="H15:H18" xr:uid="{00000000-0002-0000-0500-000009000000}">
      <formula1>0</formula1>
      <formula2>9999</formula2>
    </dataValidation>
    <dataValidation type="whole" allowBlank="1" showInputMessage="1" showErrorMessage="1" sqref="J46:Y49 J53:Y56" xr:uid="{00000000-0002-0000-0500-000001000000}">
      <formula1>0</formula1>
      <formula2>1</formula2>
    </dataValidation>
    <dataValidation type="whole" allowBlank="1" showInputMessage="1" showErrorMessage="1" sqref="J60:Y69 J73:Y82" xr:uid="{00000000-0002-0000-0500-000002000000}">
      <formula1>-1</formula1>
      <formula2>1</formula2>
    </dataValidation>
    <dataValidation type="list" allowBlank="1" showInputMessage="1" showErrorMessage="1" sqref="J127:Y127 J121:Y121 J117:Y117 J113:Y113 J109:Y109 J105:Y105 J131:Y131"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58"/>
  <sheetViews>
    <sheetView showGridLines="0" zoomScale="55" zoomScaleNormal="55" workbookViewId="0">
      <pane xSplit="9" ySplit="5" topLeftCell="J6" activePane="bottomRight" state="frozen"/>
      <selection pane="topRight"/>
      <selection pane="bottomLeft"/>
      <selection pane="bottomRight" activeCell="P175" sqref="P175"/>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313" width="20.54296875" hidden="1" customWidth="1"/>
    <col min="314" max="16384" width="9.26953125" hidden="1"/>
  </cols>
  <sheetData>
    <row r="1" spans="1:43" s="1" customFormat="1" x14ac:dyDescent="0.35">
      <c r="A1" s="1" t="str">
        <f ca="1">MID(CELL("filename",A1),FIND("]",CELL("filename",A1))+1,255)</f>
        <v>Inputs by customer type</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H236 &amp; IF(H236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299" t="s">
        <v>143</v>
      </c>
      <c r="H5" s="300" t="s">
        <v>144</v>
      </c>
      <c r="I5" s="14"/>
      <c r="J5" s="300" t="s">
        <v>829</v>
      </c>
      <c r="K5" s="300" t="s">
        <v>831</v>
      </c>
      <c r="L5" s="300" t="s">
        <v>830</v>
      </c>
      <c r="M5" s="300" t="s">
        <v>832</v>
      </c>
      <c r="N5" s="300" t="s">
        <v>838</v>
      </c>
      <c r="O5" s="300" t="s">
        <v>839</v>
      </c>
      <c r="P5" s="300" t="s">
        <v>840</v>
      </c>
      <c r="Q5" s="300" t="s">
        <v>841</v>
      </c>
      <c r="R5" s="300" t="s">
        <v>833</v>
      </c>
      <c r="S5" s="300" t="s">
        <v>834</v>
      </c>
      <c r="T5" s="300" t="s">
        <v>835</v>
      </c>
      <c r="U5" s="300" t="s">
        <v>844</v>
      </c>
      <c r="V5" s="300" t="s">
        <v>836</v>
      </c>
      <c r="W5" s="300" t="s">
        <v>843</v>
      </c>
      <c r="X5" s="300" t="s">
        <v>837</v>
      </c>
      <c r="Y5" s="300" t="s">
        <v>842</v>
      </c>
      <c r="AQ5" s="61" t="s">
        <v>145</v>
      </c>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5">
      <c r="C9" s="29" t="s">
        <v>240</v>
      </c>
    </row>
    <row r="11" spans="1:43" x14ac:dyDescent="0.35">
      <c r="B11" s="30" t="s">
        <v>56</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35">
      <c r="D12" s="28"/>
    </row>
    <row r="13" spans="1:43" x14ac:dyDescent="0.35">
      <c r="C13" s="31" t="str">
        <f ca="1">INDEX('Version control'!$H$34:$H$57,MATCH($A$1,'Version control'!$F$34:$F$57,0),1)&amp;"-A: Load characteristics"</f>
        <v>Input 102-A: Load characteristics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35">
      <c r="E15" s="28" t="s">
        <v>241</v>
      </c>
      <c r="G15" s="13" t="s">
        <v>167</v>
      </c>
      <c r="I15" t="s">
        <v>154</v>
      </c>
      <c r="J15" s="252">
        <v>0.4335299284783149</v>
      </c>
      <c r="K15" s="252">
        <v>0.16557931417887523</v>
      </c>
      <c r="L15" s="252">
        <v>0.42228952312043272</v>
      </c>
      <c r="M15" s="252">
        <v>0.21891578806652609</v>
      </c>
      <c r="N15" s="252">
        <v>0.57745727286460158</v>
      </c>
      <c r="O15" s="252">
        <v>0.71672866755943188</v>
      </c>
      <c r="P15" s="252">
        <v>0.68760551445352636</v>
      </c>
      <c r="Q15" s="252">
        <v>0.48053399908135042</v>
      </c>
      <c r="R15" s="70"/>
      <c r="S15" s="70"/>
      <c r="T15" s="70"/>
      <c r="U15" s="70"/>
      <c r="V15" s="70"/>
      <c r="W15" s="70"/>
      <c r="X15" s="70"/>
      <c r="Y15" s="70"/>
      <c r="AQ15" t="s">
        <v>242</v>
      </c>
    </row>
    <row r="16" spans="1:43" x14ac:dyDescent="0.35">
      <c r="E16" s="28" t="s">
        <v>243</v>
      </c>
      <c r="G16" s="13" t="s">
        <v>167</v>
      </c>
      <c r="I16" t="s">
        <v>154</v>
      </c>
      <c r="J16" s="252">
        <v>0.80988050883044271</v>
      </c>
      <c r="K16" s="70"/>
      <c r="L16" s="252">
        <v>0.7266010459496286</v>
      </c>
      <c r="M16" s="70"/>
      <c r="N16" s="252">
        <v>0.81366694390966288</v>
      </c>
      <c r="O16" s="252">
        <v>0.83511147782404294</v>
      </c>
      <c r="P16" s="252">
        <v>0.82625228601074763</v>
      </c>
      <c r="Q16" s="252">
        <v>0.80631396242152709</v>
      </c>
      <c r="R16" s="70"/>
      <c r="S16" s="70"/>
      <c r="T16" s="70"/>
      <c r="U16" s="70"/>
      <c r="V16" s="70"/>
      <c r="W16" s="70"/>
      <c r="X16" s="70"/>
      <c r="Y16" s="70"/>
      <c r="AQ16" t="s">
        <v>244</v>
      </c>
    </row>
    <row r="17" spans="3:43" x14ac:dyDescent="0.35">
      <c r="G17" s="13"/>
    </row>
    <row r="18" spans="3:43" x14ac:dyDescent="0.35">
      <c r="C18" s="31" t="str">
        <f ca="1">INDEX('Version control'!$H$34:$H$57,MATCH($A$1,'Version control'!$F$34:$F$57,0),1)&amp;"-B: Volume forecasts for the charging year"</f>
        <v>Input 102-B: Volume forecasts for the charging year</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3:43" x14ac:dyDescent="0.35">
      <c r="G19" s="13"/>
    </row>
    <row r="20" spans="3:43" x14ac:dyDescent="0.35">
      <c r="D20" s="29" t="s">
        <v>961</v>
      </c>
      <c r="G20" s="13"/>
      <c r="I20" t="s">
        <v>154</v>
      </c>
      <c r="AQ20" t="s">
        <v>246</v>
      </c>
    </row>
    <row r="21" spans="3:43" x14ac:dyDescent="0.35">
      <c r="G21" s="13"/>
    </row>
    <row r="22" spans="3:43" x14ac:dyDescent="0.35">
      <c r="E22" s="32" t="s">
        <v>909</v>
      </c>
      <c r="G22" s="13"/>
    </row>
    <row r="23" spans="3:43" x14ac:dyDescent="0.35">
      <c r="E23" s="32"/>
      <c r="F23" s="78" t="s">
        <v>247</v>
      </c>
      <c r="G23" s="78" t="s">
        <v>207</v>
      </c>
      <c r="H23" s="23"/>
      <c r="I23" s="23"/>
      <c r="J23" s="83"/>
      <c r="K23" s="253">
        <v>9396.1650095049135</v>
      </c>
      <c r="L23" s="253">
        <v>0</v>
      </c>
      <c r="M23" s="253">
        <v>454.90419700623829</v>
      </c>
      <c r="N23" s="253">
        <v>0</v>
      </c>
      <c r="O23" s="253">
        <v>0</v>
      </c>
      <c r="P23" s="253">
        <v>0</v>
      </c>
      <c r="Q23" s="83"/>
      <c r="R23" s="253">
        <v>650.78467700282442</v>
      </c>
      <c r="S23" s="253">
        <v>0.19900000000000004</v>
      </c>
      <c r="T23" s="253">
        <v>37028.598245563808</v>
      </c>
      <c r="U23" s="253">
        <v>0</v>
      </c>
      <c r="V23" s="253">
        <v>324.10167419354838</v>
      </c>
      <c r="W23" s="253">
        <v>0</v>
      </c>
      <c r="X23" s="253">
        <v>166464.50181248464</v>
      </c>
      <c r="Y23" s="253">
        <v>0</v>
      </c>
    </row>
    <row r="24" spans="3:43" x14ac:dyDescent="0.35">
      <c r="E24" s="32"/>
      <c r="F24" s="72" t="s">
        <v>248</v>
      </c>
      <c r="G24" s="72" t="s">
        <v>207</v>
      </c>
      <c r="J24" s="79"/>
      <c r="K24" s="254">
        <v>146290.47824065451</v>
      </c>
      <c r="L24" s="254">
        <v>0</v>
      </c>
      <c r="M24" s="254">
        <v>8911.3295663483332</v>
      </c>
      <c r="N24" s="254">
        <v>0</v>
      </c>
      <c r="O24" s="254">
        <v>0</v>
      </c>
      <c r="P24" s="254">
        <v>0</v>
      </c>
      <c r="Q24" s="79"/>
      <c r="R24" s="255">
        <v>3502.3381089269142</v>
      </c>
      <c r="S24" s="255">
        <v>1.391</v>
      </c>
      <c r="T24" s="254">
        <v>177224.06606561315</v>
      </c>
      <c r="U24" s="254">
        <v>0</v>
      </c>
      <c r="V24" s="254">
        <v>1487.9755864997869</v>
      </c>
      <c r="W24" s="254">
        <v>0</v>
      </c>
      <c r="X24" s="254">
        <v>712457.12239743408</v>
      </c>
      <c r="Y24" s="254">
        <v>0</v>
      </c>
    </row>
    <row r="25" spans="3:43" x14ac:dyDescent="0.35">
      <c r="E25" s="32"/>
      <c r="F25" s="72" t="s">
        <v>249</v>
      </c>
      <c r="G25" s="72" t="s">
        <v>207</v>
      </c>
      <c r="J25" s="79"/>
      <c r="K25" s="254">
        <v>211336.36964169086</v>
      </c>
      <c r="L25" s="254">
        <v>0</v>
      </c>
      <c r="M25" s="254">
        <v>14290.612390057293</v>
      </c>
      <c r="N25" s="254">
        <v>0</v>
      </c>
      <c r="O25" s="254">
        <v>0</v>
      </c>
      <c r="P25" s="254">
        <v>0</v>
      </c>
      <c r="Q25" s="79"/>
      <c r="R25" s="255">
        <v>2112.3642325825435</v>
      </c>
      <c r="S25" s="255">
        <v>0.64400000000000013</v>
      </c>
      <c r="T25" s="254">
        <v>193113.18812858776</v>
      </c>
      <c r="U25" s="254">
        <v>0</v>
      </c>
      <c r="V25" s="254">
        <v>1570.8366193548386</v>
      </c>
      <c r="W25" s="254">
        <v>0</v>
      </c>
      <c r="X25" s="254">
        <v>746890.70756556396</v>
      </c>
      <c r="Y25" s="254">
        <v>0</v>
      </c>
    </row>
    <row r="26" spans="3:43" x14ac:dyDescent="0.35">
      <c r="E26" s="32"/>
      <c r="F26" s="72" t="s">
        <v>212</v>
      </c>
      <c r="G26" s="72" t="s">
        <v>212</v>
      </c>
      <c r="J26" s="79"/>
      <c r="K26" s="254">
        <v>72371.122331145176</v>
      </c>
      <c r="L26" s="254">
        <v>0</v>
      </c>
      <c r="M26" s="254">
        <v>2436.905804440873</v>
      </c>
      <c r="N26" s="254">
        <v>0</v>
      </c>
      <c r="O26" s="254">
        <v>0</v>
      </c>
      <c r="P26" s="254">
        <v>0</v>
      </c>
      <c r="Q26" s="79"/>
      <c r="R26" s="254">
        <v>376.80645161290334</v>
      </c>
      <c r="S26" s="254">
        <v>1</v>
      </c>
      <c r="T26" s="254">
        <v>812.9295222209638</v>
      </c>
      <c r="U26" s="254">
        <v>0</v>
      </c>
      <c r="V26" s="254">
        <v>2</v>
      </c>
      <c r="W26" s="254">
        <v>0</v>
      </c>
      <c r="X26" s="254">
        <v>348.45161290322585</v>
      </c>
      <c r="Y26" s="254">
        <v>0</v>
      </c>
    </row>
    <row r="27" spans="3:43" x14ac:dyDescent="0.35">
      <c r="E27" s="32"/>
      <c r="F27" s="72" t="s">
        <v>250</v>
      </c>
      <c r="G27" s="72" t="s">
        <v>251</v>
      </c>
      <c r="J27" s="79"/>
      <c r="K27" s="79"/>
      <c r="L27" s="79"/>
      <c r="M27" s="79"/>
      <c r="N27" s="254">
        <v>0</v>
      </c>
      <c r="O27" s="254">
        <v>0</v>
      </c>
      <c r="P27" s="254">
        <v>0</v>
      </c>
      <c r="Q27" s="79"/>
      <c r="R27" s="79"/>
      <c r="S27" s="79"/>
      <c r="T27" s="79"/>
      <c r="U27" s="79"/>
      <c r="V27" s="79"/>
      <c r="W27" s="79"/>
      <c r="X27" s="79"/>
      <c r="Y27" s="79"/>
    </row>
    <row r="28" spans="3:43" x14ac:dyDescent="0.35">
      <c r="E28" s="32"/>
      <c r="F28" s="72" t="s">
        <v>252</v>
      </c>
      <c r="G28" s="72" t="s">
        <v>251</v>
      </c>
      <c r="J28" s="79"/>
      <c r="K28" s="79"/>
      <c r="L28" s="79"/>
      <c r="M28" s="79"/>
      <c r="N28" s="254">
        <v>0</v>
      </c>
      <c r="O28" s="254">
        <v>0</v>
      </c>
      <c r="P28" s="254">
        <v>0</v>
      </c>
      <c r="Q28" s="79"/>
      <c r="R28" s="79"/>
      <c r="S28" s="79"/>
      <c r="T28" s="79"/>
      <c r="U28" s="79"/>
      <c r="V28" s="79"/>
      <c r="W28" s="79"/>
      <c r="X28" s="79"/>
      <c r="Y28" s="79"/>
    </row>
    <row r="29" spans="3:43" x14ac:dyDescent="0.35">
      <c r="E29" s="32"/>
      <c r="F29" s="80" t="s">
        <v>253</v>
      </c>
      <c r="G29" s="80" t="s">
        <v>254</v>
      </c>
      <c r="H29" s="37"/>
      <c r="I29" s="37"/>
      <c r="J29" s="81"/>
      <c r="K29" s="81"/>
      <c r="L29" s="81"/>
      <c r="M29" s="81"/>
      <c r="N29" s="256">
        <v>0</v>
      </c>
      <c r="O29" s="256">
        <v>0</v>
      </c>
      <c r="P29" s="256">
        <v>0</v>
      </c>
      <c r="Q29" s="81"/>
      <c r="R29" s="81"/>
      <c r="S29" s="81"/>
      <c r="T29" s="256">
        <v>12161.310051003624</v>
      </c>
      <c r="U29" s="81"/>
      <c r="V29" s="256">
        <v>0</v>
      </c>
      <c r="W29" s="81"/>
      <c r="X29" s="256">
        <v>36125.02323166062</v>
      </c>
      <c r="Y29" s="81"/>
    </row>
    <row r="30" spans="3:43" x14ac:dyDescent="0.35">
      <c r="E30" s="261"/>
      <c r="F30" s="235"/>
      <c r="G30" s="235"/>
      <c r="H30" s="260"/>
      <c r="I30" s="260"/>
      <c r="J30" s="262"/>
      <c r="K30" s="262"/>
      <c r="L30" s="262"/>
      <c r="M30" s="262"/>
      <c r="N30" s="263"/>
      <c r="O30" s="263"/>
      <c r="P30" s="263"/>
      <c r="Q30" s="262"/>
      <c r="R30" s="262"/>
      <c r="S30" s="262"/>
      <c r="T30" s="263"/>
      <c r="U30" s="262"/>
      <c r="V30" s="263"/>
      <c r="W30" s="262"/>
      <c r="X30" s="263"/>
      <c r="Y30" s="262"/>
      <c r="Z30" s="260"/>
      <c r="AA30" s="260"/>
      <c r="AB30" s="260"/>
      <c r="AC30" s="260"/>
      <c r="AD30" s="260"/>
      <c r="AE30" s="260"/>
      <c r="AF30" s="260"/>
      <c r="AG30" s="260"/>
      <c r="AH30" s="260"/>
      <c r="AI30" s="260"/>
      <c r="AJ30" s="260"/>
      <c r="AK30" s="260"/>
      <c r="AL30" s="260"/>
      <c r="AM30" s="260"/>
      <c r="AN30" s="260"/>
      <c r="AO30" s="260"/>
      <c r="AP30" s="260"/>
    </row>
    <row r="31" spans="3:43" x14ac:dyDescent="0.35">
      <c r="E31" s="32" t="s">
        <v>949</v>
      </c>
      <c r="G31" s="13"/>
    </row>
    <row r="32" spans="3:43" x14ac:dyDescent="0.35">
      <c r="E32" s="32"/>
      <c r="F32" s="78" t="s">
        <v>247</v>
      </c>
      <c r="G32" s="78" t="s">
        <v>207</v>
      </c>
      <c r="H32" s="23"/>
      <c r="I32" s="23"/>
      <c r="J32" s="253">
        <v>322302.2649968901</v>
      </c>
      <c r="K32" s="83"/>
      <c r="L32" s="253">
        <v>3440.4390905533428</v>
      </c>
      <c r="M32" s="83"/>
      <c r="N32" s="253">
        <v>28727.815582636696</v>
      </c>
      <c r="O32" s="253">
        <v>637.36533546418946</v>
      </c>
      <c r="P32" s="253">
        <v>6871.6648257276338</v>
      </c>
      <c r="Q32" s="253">
        <v>6021.5121963867368</v>
      </c>
      <c r="R32" s="83"/>
      <c r="S32" s="83"/>
      <c r="T32" s="83"/>
      <c r="U32" s="83"/>
      <c r="V32" s="83"/>
      <c r="W32" s="83"/>
      <c r="X32" s="83"/>
      <c r="Y32" s="83"/>
    </row>
    <row r="33" spans="5:42" x14ac:dyDescent="0.35">
      <c r="E33" s="32"/>
      <c r="F33" s="72" t="s">
        <v>248</v>
      </c>
      <c r="G33" s="72" t="s">
        <v>207</v>
      </c>
      <c r="J33" s="254">
        <v>1235375.6941167442</v>
      </c>
      <c r="K33" s="79"/>
      <c r="L33" s="254">
        <v>17908.098477887361</v>
      </c>
      <c r="M33" s="331"/>
      <c r="N33" s="254">
        <v>143762.10976742959</v>
      </c>
      <c r="O33" s="254">
        <v>3009.0799200252268</v>
      </c>
      <c r="P33" s="254">
        <v>33930.257102388103</v>
      </c>
      <c r="Q33" s="255">
        <v>29213.624042833315</v>
      </c>
      <c r="R33" s="79"/>
      <c r="S33" s="79"/>
      <c r="T33" s="79"/>
      <c r="U33" s="79"/>
      <c r="V33" s="79"/>
      <c r="W33" s="79"/>
      <c r="X33" s="79"/>
      <c r="Y33" s="79"/>
    </row>
    <row r="34" spans="5:42" x14ac:dyDescent="0.35">
      <c r="E34" s="32"/>
      <c r="F34" s="72" t="s">
        <v>249</v>
      </c>
      <c r="G34" s="72" t="s">
        <v>207</v>
      </c>
      <c r="J34" s="254">
        <v>1012593.7290870433</v>
      </c>
      <c r="K34" s="79"/>
      <c r="L34" s="254">
        <v>12003.980648340061</v>
      </c>
      <c r="M34" s="331"/>
      <c r="N34" s="254">
        <v>114821.4396496292</v>
      </c>
      <c r="O34" s="254">
        <v>2935.9701037509471</v>
      </c>
      <c r="P34" s="254">
        <v>31487.123666606396</v>
      </c>
      <c r="Q34" s="255">
        <v>60911.812464155897</v>
      </c>
      <c r="R34" s="79"/>
      <c r="S34" s="79"/>
      <c r="T34" s="79"/>
      <c r="U34" s="79"/>
      <c r="V34" s="79"/>
      <c r="W34" s="79"/>
      <c r="X34" s="79"/>
      <c r="Y34" s="79"/>
    </row>
    <row r="35" spans="5:42" x14ac:dyDescent="0.35">
      <c r="E35" s="32"/>
      <c r="F35" s="72" t="s">
        <v>212</v>
      </c>
      <c r="G35" s="72" t="s">
        <v>212</v>
      </c>
      <c r="J35" s="254">
        <v>706592.44030903245</v>
      </c>
      <c r="K35" s="79"/>
      <c r="L35" s="254">
        <v>28310.269475554884</v>
      </c>
      <c r="M35" s="331"/>
      <c r="N35" s="254">
        <v>3238.8641752857038</v>
      </c>
      <c r="O35" s="254">
        <v>9.835917905749147</v>
      </c>
      <c r="P35" s="254">
        <v>429.47801019678843</v>
      </c>
      <c r="Q35" s="254">
        <v>1886.5806451612905</v>
      </c>
      <c r="R35" s="79"/>
      <c r="S35" s="79"/>
      <c r="T35" s="79"/>
      <c r="U35" s="79"/>
      <c r="V35" s="79"/>
      <c r="W35" s="79"/>
      <c r="X35" s="79"/>
      <c r="Y35" s="79"/>
    </row>
    <row r="36" spans="5:42" x14ac:dyDescent="0.35">
      <c r="E36" s="32"/>
      <c r="F36" s="72" t="s">
        <v>250</v>
      </c>
      <c r="G36" s="72" t="s">
        <v>251</v>
      </c>
      <c r="J36" s="79"/>
      <c r="K36" s="79"/>
      <c r="L36" s="79"/>
      <c r="M36" s="331"/>
      <c r="N36" s="254">
        <v>178923.90872332305</v>
      </c>
      <c r="O36" s="254">
        <v>2459.3578134546037</v>
      </c>
      <c r="P36" s="254">
        <v>36447.354161456627</v>
      </c>
      <c r="Q36" s="79"/>
      <c r="R36" s="79"/>
      <c r="S36" s="79"/>
      <c r="T36" s="79"/>
      <c r="U36" s="79"/>
      <c r="V36" s="79"/>
      <c r="W36" s="79"/>
      <c r="X36" s="79"/>
      <c r="Y36" s="79"/>
    </row>
    <row r="37" spans="5:42" x14ac:dyDescent="0.35">
      <c r="E37" s="32"/>
      <c r="F37" s="72" t="s">
        <v>252</v>
      </c>
      <c r="G37" s="72" t="s">
        <v>251</v>
      </c>
      <c r="J37" s="79"/>
      <c r="K37" s="79"/>
      <c r="L37" s="79"/>
      <c r="M37" s="331"/>
      <c r="N37" s="254">
        <v>3635.7650764734904</v>
      </c>
      <c r="O37" s="254">
        <v>74.370999092084375</v>
      </c>
      <c r="P37" s="254">
        <v>958.76253773084238</v>
      </c>
      <c r="Q37" s="79"/>
      <c r="R37" s="79"/>
      <c r="S37" s="79"/>
      <c r="T37" s="79"/>
      <c r="U37" s="79"/>
      <c r="V37" s="79"/>
      <c r="W37" s="79"/>
      <c r="X37" s="79"/>
      <c r="Y37" s="79"/>
    </row>
    <row r="38" spans="5:42" x14ac:dyDescent="0.35">
      <c r="E38" s="32"/>
      <c r="F38" s="80" t="s">
        <v>253</v>
      </c>
      <c r="G38" s="80" t="s">
        <v>254</v>
      </c>
      <c r="H38" s="37"/>
      <c r="I38" s="37"/>
      <c r="J38" s="81"/>
      <c r="K38" s="81"/>
      <c r="L38" s="81"/>
      <c r="M38" s="81"/>
      <c r="N38" s="256">
        <v>33391.216316336562</v>
      </c>
      <c r="O38" s="256">
        <v>502.18789439440997</v>
      </c>
      <c r="P38" s="256">
        <v>12541.854171679766</v>
      </c>
      <c r="Q38" s="81"/>
      <c r="R38" s="81"/>
      <c r="S38" s="81"/>
      <c r="T38" s="81"/>
      <c r="U38" s="81"/>
      <c r="V38" s="81"/>
      <c r="W38" s="81"/>
      <c r="X38" s="81"/>
      <c r="Y38" s="81"/>
    </row>
    <row r="39" spans="5:42" x14ac:dyDescent="0.35">
      <c r="E39" s="261"/>
      <c r="F39" s="235"/>
      <c r="G39" s="235"/>
      <c r="H39" s="260"/>
      <c r="I39" s="260"/>
      <c r="J39" s="262"/>
      <c r="K39" s="262"/>
      <c r="L39" s="262"/>
      <c r="M39" s="262"/>
      <c r="N39" s="263"/>
      <c r="O39" s="263"/>
      <c r="P39" s="263"/>
      <c r="Q39" s="262"/>
      <c r="R39" s="262"/>
      <c r="S39" s="262"/>
      <c r="T39" s="263"/>
      <c r="U39" s="262"/>
      <c r="V39" s="263"/>
      <c r="W39" s="262"/>
      <c r="X39" s="263"/>
      <c r="Y39" s="262"/>
      <c r="Z39" s="260"/>
      <c r="AA39" s="260"/>
      <c r="AB39" s="260"/>
      <c r="AC39" s="260"/>
      <c r="AD39" s="260"/>
      <c r="AE39" s="260"/>
      <c r="AF39" s="260"/>
      <c r="AG39" s="260"/>
      <c r="AH39" s="260"/>
      <c r="AI39" s="260"/>
      <c r="AJ39" s="260"/>
      <c r="AK39" s="260"/>
      <c r="AL39" s="260"/>
      <c r="AM39" s="260"/>
      <c r="AN39" s="260"/>
      <c r="AO39" s="260"/>
      <c r="AP39" s="260"/>
    </row>
    <row r="40" spans="5:42" x14ac:dyDescent="0.35">
      <c r="E40" s="32" t="s">
        <v>950</v>
      </c>
      <c r="G40" s="13"/>
    </row>
    <row r="41" spans="5:42" x14ac:dyDescent="0.35">
      <c r="E41" s="32"/>
      <c r="F41" s="78" t="s">
        <v>247</v>
      </c>
      <c r="G41" s="78" t="s">
        <v>207</v>
      </c>
      <c r="H41" s="23"/>
      <c r="I41" s="23"/>
      <c r="J41" s="83"/>
      <c r="K41" s="83"/>
      <c r="L41" s="253">
        <v>16514.787577313004</v>
      </c>
      <c r="M41" s="83"/>
      <c r="N41" s="253">
        <v>29513.838714151007</v>
      </c>
      <c r="O41" s="253">
        <v>390.93384375875104</v>
      </c>
      <c r="P41" s="253">
        <v>19107.04821857742</v>
      </c>
      <c r="Q41" s="83"/>
      <c r="R41" s="83"/>
      <c r="S41" s="83"/>
      <c r="T41" s="83"/>
      <c r="U41" s="83"/>
      <c r="V41" s="83"/>
      <c r="W41" s="83"/>
      <c r="X41" s="83"/>
      <c r="Y41" s="83"/>
    </row>
    <row r="42" spans="5:42" x14ac:dyDescent="0.35">
      <c r="E42" s="32"/>
      <c r="F42" s="72" t="s">
        <v>248</v>
      </c>
      <c r="G42" s="72" t="s">
        <v>207</v>
      </c>
      <c r="J42" s="79"/>
      <c r="K42" s="79"/>
      <c r="L42" s="254">
        <v>85962.411916539815</v>
      </c>
      <c r="M42" s="79"/>
      <c r="N42" s="254">
        <v>147695.59170542969</v>
      </c>
      <c r="O42" s="254">
        <v>1845.646623464402</v>
      </c>
      <c r="P42" s="254">
        <v>94344.976794675051</v>
      </c>
      <c r="Q42" s="79"/>
      <c r="R42" s="79"/>
      <c r="S42" s="79"/>
      <c r="T42" s="79"/>
      <c r="U42" s="79"/>
      <c r="V42" s="79"/>
      <c r="W42" s="79"/>
      <c r="X42" s="79"/>
      <c r="Y42" s="79"/>
    </row>
    <row r="43" spans="5:42" x14ac:dyDescent="0.35">
      <c r="E43" s="32"/>
      <c r="F43" s="72" t="s">
        <v>249</v>
      </c>
      <c r="G43" s="72" t="s">
        <v>207</v>
      </c>
      <c r="J43" s="79"/>
      <c r="K43" s="79"/>
      <c r="L43" s="254">
        <v>57621.479489011297</v>
      </c>
      <c r="M43" s="79"/>
      <c r="N43" s="254">
        <v>117963.07453303231</v>
      </c>
      <c r="O43" s="254">
        <v>1800.8040506065845</v>
      </c>
      <c r="P43" s="254">
        <v>87551.707689475821</v>
      </c>
      <c r="Q43" s="79"/>
      <c r="R43" s="79"/>
      <c r="S43" s="79"/>
      <c r="T43" s="79"/>
      <c r="U43" s="79"/>
      <c r="V43" s="79"/>
      <c r="W43" s="79"/>
      <c r="X43" s="79"/>
      <c r="Y43" s="79"/>
    </row>
    <row r="44" spans="5:42" x14ac:dyDescent="0.35">
      <c r="E44" s="32"/>
      <c r="F44" s="72" t="s">
        <v>212</v>
      </c>
      <c r="G44" s="72" t="s">
        <v>212</v>
      </c>
      <c r="J44" s="79"/>
      <c r="K44" s="79"/>
      <c r="L44" s="254">
        <v>22964.998255410857</v>
      </c>
      <c r="M44" s="79"/>
      <c r="N44" s="254">
        <v>1743.2771857257139</v>
      </c>
      <c r="O44" s="254">
        <v>13.114557207665531</v>
      </c>
      <c r="P44" s="254">
        <v>153.45856959069897</v>
      </c>
      <c r="Q44" s="79"/>
      <c r="R44" s="79"/>
      <c r="S44" s="79"/>
      <c r="T44" s="79"/>
      <c r="U44" s="79"/>
      <c r="V44" s="79"/>
      <c r="W44" s="79"/>
      <c r="X44" s="79"/>
      <c r="Y44" s="79"/>
    </row>
    <row r="45" spans="5:42" x14ac:dyDescent="0.35">
      <c r="E45" s="32"/>
      <c r="F45" s="72" t="s">
        <v>250</v>
      </c>
      <c r="G45" s="72" t="s">
        <v>251</v>
      </c>
      <c r="J45" s="79"/>
      <c r="K45" s="79"/>
      <c r="L45" s="79"/>
      <c r="M45" s="79"/>
      <c r="N45" s="254">
        <v>183819.45431859934</v>
      </c>
      <c r="O45" s="254">
        <v>1508.4695537947794</v>
      </c>
      <c r="P45" s="254">
        <v>101343.90588946964</v>
      </c>
      <c r="Q45" s="79"/>
      <c r="R45" s="79"/>
      <c r="S45" s="79"/>
      <c r="T45" s="79"/>
      <c r="U45" s="79"/>
      <c r="V45" s="79"/>
      <c r="W45" s="79"/>
      <c r="X45" s="79"/>
      <c r="Y45" s="79"/>
    </row>
    <row r="46" spans="5:42" x14ac:dyDescent="0.35">
      <c r="E46" s="32"/>
      <c r="F46" s="72" t="s">
        <v>252</v>
      </c>
      <c r="G46" s="72" t="s">
        <v>251</v>
      </c>
      <c r="J46" s="79"/>
      <c r="K46" s="79"/>
      <c r="L46" s="79"/>
      <c r="M46" s="79"/>
      <c r="N46" s="254">
        <v>3735.2434180355035</v>
      </c>
      <c r="O46" s="254">
        <v>45.616130846012524</v>
      </c>
      <c r="P46" s="254">
        <v>2665.892837206166</v>
      </c>
      <c r="Q46" s="79"/>
      <c r="R46" s="79"/>
      <c r="S46" s="79"/>
      <c r="T46" s="79"/>
      <c r="U46" s="79"/>
      <c r="V46" s="79"/>
      <c r="W46" s="79"/>
      <c r="X46" s="79"/>
      <c r="Y46" s="79"/>
    </row>
    <row r="47" spans="5:42" x14ac:dyDescent="0.35">
      <c r="E47" s="32"/>
      <c r="F47" s="80" t="s">
        <v>253</v>
      </c>
      <c r="G47" s="80" t="s">
        <v>254</v>
      </c>
      <c r="H47" s="37"/>
      <c r="I47" s="37"/>
      <c r="J47" s="81"/>
      <c r="K47" s="81"/>
      <c r="L47" s="81"/>
      <c r="M47" s="81"/>
      <c r="N47" s="256">
        <v>34304.834977614169</v>
      </c>
      <c r="O47" s="256">
        <v>308.02152693437603</v>
      </c>
      <c r="P47" s="256">
        <v>34873.326695365504</v>
      </c>
      <c r="Q47" s="81"/>
      <c r="R47" s="81"/>
      <c r="S47" s="81"/>
      <c r="T47" s="81"/>
      <c r="U47" s="81"/>
      <c r="V47" s="81"/>
      <c r="W47" s="81"/>
      <c r="X47" s="81"/>
      <c r="Y47" s="81"/>
    </row>
    <row r="48" spans="5:42" x14ac:dyDescent="0.35">
      <c r="E48" s="261"/>
      <c r="F48" s="235"/>
      <c r="G48" s="235"/>
      <c r="H48" s="260"/>
      <c r="I48" s="260"/>
      <c r="J48" s="262"/>
      <c r="K48" s="262"/>
      <c r="L48" s="262"/>
      <c r="M48" s="262"/>
      <c r="N48" s="263"/>
      <c r="O48" s="263"/>
      <c r="P48" s="263"/>
      <c r="Q48" s="262"/>
      <c r="R48" s="262"/>
      <c r="S48" s="262"/>
      <c r="T48" s="263"/>
      <c r="U48" s="262"/>
      <c r="V48" s="263"/>
      <c r="W48" s="262"/>
      <c r="X48" s="263"/>
      <c r="Y48" s="262"/>
      <c r="Z48" s="260"/>
      <c r="AA48" s="260"/>
      <c r="AB48" s="260"/>
      <c r="AC48" s="260"/>
      <c r="AD48" s="260"/>
      <c r="AE48" s="260"/>
      <c r="AF48" s="260"/>
      <c r="AG48" s="260"/>
      <c r="AH48" s="260"/>
      <c r="AI48" s="260"/>
      <c r="AJ48" s="260"/>
      <c r="AK48" s="260"/>
      <c r="AL48" s="260"/>
      <c r="AM48" s="260"/>
      <c r="AN48" s="260"/>
      <c r="AO48" s="260"/>
      <c r="AP48" s="260"/>
    </row>
    <row r="49" spans="5:42" x14ac:dyDescent="0.35">
      <c r="E49" s="32" t="s">
        <v>951</v>
      </c>
      <c r="G49" s="13"/>
    </row>
    <row r="50" spans="5:42" x14ac:dyDescent="0.35">
      <c r="E50" s="32"/>
      <c r="F50" s="78" t="s">
        <v>247</v>
      </c>
      <c r="G50" s="78" t="s">
        <v>207</v>
      </c>
      <c r="H50" s="23"/>
      <c r="I50" s="23"/>
      <c r="J50" s="83"/>
      <c r="K50" s="83"/>
      <c r="L50" s="253">
        <v>23010.46824760376</v>
      </c>
      <c r="M50" s="83"/>
      <c r="N50" s="253">
        <v>22315.72923755012</v>
      </c>
      <c r="O50" s="253">
        <v>1158.1933767064754</v>
      </c>
      <c r="P50" s="253">
        <v>15997.757150763569</v>
      </c>
      <c r="Q50" s="83"/>
      <c r="R50" s="83"/>
      <c r="S50" s="83"/>
      <c r="T50" s="83"/>
      <c r="U50" s="83"/>
      <c r="V50" s="83"/>
      <c r="W50" s="83"/>
      <c r="X50" s="83"/>
      <c r="Y50" s="83"/>
    </row>
    <row r="51" spans="5:42" x14ac:dyDescent="0.35">
      <c r="E51" s="32"/>
      <c r="F51" s="72" t="s">
        <v>248</v>
      </c>
      <c r="G51" s="72" t="s">
        <v>207</v>
      </c>
      <c r="J51" s="79"/>
      <c r="K51" s="79"/>
      <c r="L51" s="254">
        <v>119773.58719468348</v>
      </c>
      <c r="M51" s="79"/>
      <c r="N51" s="254">
        <v>111674.21716978548</v>
      </c>
      <c r="O51" s="254">
        <v>5467.9729810148729</v>
      </c>
      <c r="P51" s="254">
        <v>78992.213234075811</v>
      </c>
      <c r="Q51" s="79"/>
      <c r="R51" s="79"/>
      <c r="S51" s="79"/>
      <c r="T51" s="79"/>
      <c r="U51" s="79"/>
      <c r="V51" s="79"/>
      <c r="W51" s="79"/>
      <c r="X51" s="79"/>
      <c r="Y51" s="79"/>
    </row>
    <row r="52" spans="5:42" x14ac:dyDescent="0.35">
      <c r="E52" s="32"/>
      <c r="F52" s="72" t="s">
        <v>249</v>
      </c>
      <c r="G52" s="72" t="s">
        <v>207</v>
      </c>
      <c r="J52" s="79"/>
      <c r="K52" s="79"/>
      <c r="L52" s="254">
        <v>80285.454351425127</v>
      </c>
      <c r="M52" s="79"/>
      <c r="N52" s="254">
        <v>89193.142810186881</v>
      </c>
      <c r="O52" s="254">
        <v>5335.120909730781</v>
      </c>
      <c r="P52" s="254">
        <v>73304.413205440433</v>
      </c>
      <c r="Q52" s="79"/>
      <c r="R52" s="79"/>
      <c r="S52" s="79"/>
      <c r="T52" s="79"/>
      <c r="U52" s="79"/>
      <c r="V52" s="79"/>
      <c r="W52" s="79"/>
      <c r="X52" s="79"/>
      <c r="Y52" s="79"/>
    </row>
    <row r="53" spans="5:42" x14ac:dyDescent="0.35">
      <c r="E53" s="32"/>
      <c r="F53" s="72" t="s">
        <v>212</v>
      </c>
      <c r="G53" s="72" t="s">
        <v>212</v>
      </c>
      <c r="J53" s="79"/>
      <c r="K53" s="79"/>
      <c r="L53" s="254">
        <v>12966.908760035867</v>
      </c>
      <c r="M53" s="79"/>
      <c r="N53" s="254">
        <v>801.84453335005753</v>
      </c>
      <c r="O53" s="254">
        <v>26.229114415331061</v>
      </c>
      <c r="P53" s="254">
        <v>59.735550578929804</v>
      </c>
      <c r="Q53" s="79"/>
      <c r="R53" s="79"/>
      <c r="S53" s="79"/>
      <c r="T53" s="79"/>
      <c r="U53" s="79"/>
      <c r="V53" s="79"/>
      <c r="W53" s="79"/>
      <c r="X53" s="79"/>
      <c r="Y53" s="79"/>
    </row>
    <row r="54" spans="5:42" x14ac:dyDescent="0.35">
      <c r="E54" s="32"/>
      <c r="F54" s="72" t="s">
        <v>250</v>
      </c>
      <c r="G54" s="72" t="s">
        <v>251</v>
      </c>
      <c r="J54" s="79"/>
      <c r="K54" s="79"/>
      <c r="L54" s="79"/>
      <c r="M54" s="79"/>
      <c r="N54" s="254">
        <v>138987.856201886</v>
      </c>
      <c r="O54" s="254">
        <v>4469.0411793731455</v>
      </c>
      <c r="P54" s="254">
        <v>84852.206190239158</v>
      </c>
      <c r="Q54" s="79"/>
      <c r="R54" s="79"/>
      <c r="S54" s="79"/>
      <c r="T54" s="79"/>
      <c r="U54" s="79"/>
      <c r="V54" s="79"/>
      <c r="W54" s="79"/>
      <c r="X54" s="79"/>
      <c r="Y54" s="79"/>
    </row>
    <row r="55" spans="5:42" x14ac:dyDescent="0.35">
      <c r="E55" s="32"/>
      <c r="F55" s="72" t="s">
        <v>252</v>
      </c>
      <c r="G55" s="72" t="s">
        <v>251</v>
      </c>
      <c r="J55" s="79"/>
      <c r="K55" s="79"/>
      <c r="L55" s="79"/>
      <c r="M55" s="79"/>
      <c r="N55" s="254">
        <v>2824.2575139253381</v>
      </c>
      <c r="O55" s="254">
        <v>135.14383945082781</v>
      </c>
      <c r="P55" s="254">
        <v>2232.0719407678152</v>
      </c>
      <c r="Q55" s="79"/>
      <c r="R55" s="79"/>
      <c r="S55" s="79"/>
      <c r="T55" s="79"/>
      <c r="U55" s="79"/>
      <c r="V55" s="79"/>
      <c r="W55" s="79"/>
      <c r="X55" s="79"/>
      <c r="Y55" s="79"/>
    </row>
    <row r="56" spans="5:42" x14ac:dyDescent="0.35">
      <c r="E56" s="32"/>
      <c r="F56" s="80" t="s">
        <v>253</v>
      </c>
      <c r="G56" s="80" t="s">
        <v>254</v>
      </c>
      <c r="H56" s="37"/>
      <c r="I56" s="37"/>
      <c r="J56" s="81"/>
      <c r="K56" s="81"/>
      <c r="L56" s="81"/>
      <c r="M56" s="81"/>
      <c r="N56" s="256">
        <v>25938.252774018991</v>
      </c>
      <c r="O56" s="256">
        <v>912.55463826908363</v>
      </c>
      <c r="P56" s="256">
        <v>29198.388214107654</v>
      </c>
      <c r="Q56" s="81"/>
      <c r="R56" s="81"/>
      <c r="S56" s="81"/>
      <c r="T56" s="81"/>
      <c r="U56" s="81"/>
      <c r="V56" s="81"/>
      <c r="W56" s="81"/>
      <c r="X56" s="81"/>
      <c r="Y56" s="81"/>
    </row>
    <row r="57" spans="5:42" x14ac:dyDescent="0.35">
      <c r="E57" s="261"/>
      <c r="F57" s="235"/>
      <c r="G57" s="235"/>
      <c r="H57" s="260"/>
      <c r="I57" s="260"/>
      <c r="J57" s="262"/>
      <c r="K57" s="262"/>
      <c r="L57" s="262"/>
      <c r="M57" s="262"/>
      <c r="N57" s="263"/>
      <c r="O57" s="263"/>
      <c r="P57" s="263"/>
      <c r="Q57" s="262"/>
      <c r="R57" s="262"/>
      <c r="S57" s="262"/>
      <c r="T57" s="263"/>
      <c r="U57" s="262"/>
      <c r="V57" s="263"/>
      <c r="W57" s="262"/>
      <c r="X57" s="263"/>
      <c r="Y57" s="262"/>
      <c r="Z57" s="260"/>
      <c r="AA57" s="260"/>
      <c r="AB57" s="260"/>
      <c r="AC57" s="260"/>
      <c r="AD57" s="260"/>
      <c r="AE57" s="260"/>
      <c r="AF57" s="260"/>
      <c r="AG57" s="260"/>
      <c r="AH57" s="260"/>
      <c r="AI57" s="260"/>
      <c r="AJ57" s="260"/>
      <c r="AK57" s="260"/>
      <c r="AL57" s="260"/>
      <c r="AM57" s="260"/>
      <c r="AN57" s="260"/>
      <c r="AO57" s="260"/>
      <c r="AP57" s="260"/>
    </row>
    <row r="58" spans="5:42" x14ac:dyDescent="0.35">
      <c r="E58" s="32" t="s">
        <v>952</v>
      </c>
      <c r="G58" s="13"/>
    </row>
    <row r="59" spans="5:42" x14ac:dyDescent="0.35">
      <c r="E59" s="32"/>
      <c r="F59" s="78" t="s">
        <v>247</v>
      </c>
      <c r="G59" s="78" t="s">
        <v>207</v>
      </c>
      <c r="H59" s="23"/>
      <c r="I59" s="23"/>
      <c r="J59" s="83"/>
      <c r="K59" s="83"/>
      <c r="L59" s="253">
        <v>60897.322396953918</v>
      </c>
      <c r="M59" s="83"/>
      <c r="N59" s="253">
        <v>60741.856601798361</v>
      </c>
      <c r="O59" s="253">
        <v>9045.6259387962073</v>
      </c>
      <c r="P59" s="253">
        <v>32103.945803267059</v>
      </c>
      <c r="Q59" s="83"/>
      <c r="R59" s="83"/>
      <c r="S59" s="83"/>
      <c r="T59" s="83"/>
      <c r="U59" s="83"/>
      <c r="V59" s="83"/>
      <c r="W59" s="83"/>
      <c r="X59" s="83"/>
      <c r="Y59" s="83"/>
    </row>
    <row r="60" spans="5:42" x14ac:dyDescent="0.35">
      <c r="E60" s="32"/>
      <c r="F60" s="72" t="s">
        <v>248</v>
      </c>
      <c r="G60" s="72" t="s">
        <v>207</v>
      </c>
      <c r="J60" s="79"/>
      <c r="K60" s="79"/>
      <c r="L60" s="254">
        <v>316981.41365697217</v>
      </c>
      <c r="M60" s="79"/>
      <c r="N60" s="254">
        <v>303969.42054804601</v>
      </c>
      <c r="O60" s="254">
        <v>42705.509480944012</v>
      </c>
      <c r="P60" s="254">
        <v>158519.82928906029</v>
      </c>
      <c r="Q60" s="79"/>
      <c r="R60" s="79"/>
      <c r="S60" s="79"/>
      <c r="T60" s="79"/>
      <c r="U60" s="79"/>
      <c r="V60" s="79"/>
      <c r="W60" s="79"/>
      <c r="X60" s="79"/>
      <c r="Y60" s="79"/>
    </row>
    <row r="61" spans="5:42" x14ac:dyDescent="0.35">
      <c r="E61" s="32"/>
      <c r="F61" s="72" t="s">
        <v>249</v>
      </c>
      <c r="G61" s="72" t="s">
        <v>207</v>
      </c>
      <c r="J61" s="79"/>
      <c r="K61" s="79"/>
      <c r="L61" s="254">
        <v>212475.86727983275</v>
      </c>
      <c r="M61" s="79"/>
      <c r="N61" s="254">
        <v>242777.50607064052</v>
      </c>
      <c r="O61" s="254">
        <v>41667.919242388591</v>
      </c>
      <c r="P61" s="254">
        <v>147105.67778405288</v>
      </c>
      <c r="Q61" s="79"/>
      <c r="R61" s="79"/>
      <c r="S61" s="79"/>
      <c r="T61" s="79"/>
      <c r="U61" s="79"/>
      <c r="V61" s="79"/>
      <c r="W61" s="79"/>
      <c r="X61" s="79"/>
      <c r="Y61" s="79"/>
    </row>
    <row r="62" spans="5:42" x14ac:dyDescent="0.35">
      <c r="E62" s="32"/>
      <c r="F62" s="72" t="s">
        <v>212</v>
      </c>
      <c r="G62" s="72" t="s">
        <v>212</v>
      </c>
      <c r="J62" s="79"/>
      <c r="K62" s="79"/>
      <c r="L62" s="254">
        <v>10488.043595893307</v>
      </c>
      <c r="M62" s="79"/>
      <c r="N62" s="254">
        <v>984.4635762858037</v>
      </c>
      <c r="O62" s="254">
        <v>71.037184874854958</v>
      </c>
      <c r="P62" s="254">
        <v>54.585934149711711</v>
      </c>
      <c r="Q62" s="79"/>
      <c r="R62" s="79"/>
      <c r="S62" s="79"/>
      <c r="T62" s="79"/>
      <c r="U62" s="79"/>
      <c r="V62" s="79"/>
      <c r="W62" s="79"/>
      <c r="X62" s="79"/>
      <c r="Y62" s="79"/>
    </row>
    <row r="63" spans="5:42" x14ac:dyDescent="0.35">
      <c r="E63" s="32"/>
      <c r="F63" s="72" t="s">
        <v>250</v>
      </c>
      <c r="G63" s="72" t="s">
        <v>251</v>
      </c>
      <c r="J63" s="79"/>
      <c r="K63" s="79"/>
      <c r="L63" s="79"/>
      <c r="M63" s="79"/>
      <c r="N63" s="254">
        <v>378315.23858967365</v>
      </c>
      <c r="O63" s="254">
        <v>34903.735098746998</v>
      </c>
      <c r="P63" s="254">
        <v>170279.53375883441</v>
      </c>
      <c r="Q63" s="79"/>
      <c r="R63" s="79"/>
      <c r="S63" s="79"/>
      <c r="T63" s="79"/>
      <c r="U63" s="79"/>
      <c r="V63" s="79"/>
      <c r="W63" s="79"/>
      <c r="X63" s="79"/>
      <c r="Y63" s="79"/>
    </row>
    <row r="64" spans="5:42" x14ac:dyDescent="0.35">
      <c r="E64" s="32"/>
      <c r="F64" s="72" t="s">
        <v>252</v>
      </c>
      <c r="G64" s="72" t="s">
        <v>251</v>
      </c>
      <c r="J64" s="79"/>
      <c r="K64" s="79"/>
      <c r="L64" s="79"/>
      <c r="M64" s="79"/>
      <c r="N64" s="254">
        <v>7687.4317254549078</v>
      </c>
      <c r="O64" s="254">
        <v>1055.489216387334</v>
      </c>
      <c r="P64" s="254">
        <v>4479.2726842951743</v>
      </c>
      <c r="Q64" s="79"/>
      <c r="R64" s="79"/>
      <c r="S64" s="79"/>
      <c r="T64" s="79"/>
      <c r="U64" s="79"/>
      <c r="V64" s="79"/>
      <c r="W64" s="79"/>
      <c r="X64" s="79"/>
      <c r="Y64" s="79"/>
    </row>
    <row r="65" spans="4:43" x14ac:dyDescent="0.35">
      <c r="E65" s="32"/>
      <c r="F65" s="80" t="s">
        <v>253</v>
      </c>
      <c r="G65" s="80" t="s">
        <v>254</v>
      </c>
      <c r="H65" s="37"/>
      <c r="I65" s="37"/>
      <c r="J65" s="81"/>
      <c r="K65" s="81"/>
      <c r="L65" s="81"/>
      <c r="M65" s="81"/>
      <c r="N65" s="256">
        <v>70602.112695001808</v>
      </c>
      <c r="O65" s="256">
        <v>7127.1586183380568</v>
      </c>
      <c r="P65" s="256">
        <v>58594.680737713454</v>
      </c>
      <c r="Q65" s="81"/>
      <c r="R65" s="81"/>
      <c r="S65" s="81"/>
      <c r="T65" s="81"/>
      <c r="U65" s="81"/>
      <c r="V65" s="81"/>
      <c r="W65" s="81"/>
      <c r="X65" s="81"/>
      <c r="Y65" s="81"/>
    </row>
    <row r="66" spans="4:43" x14ac:dyDescent="0.35">
      <c r="E66" s="261"/>
      <c r="F66" s="235"/>
      <c r="G66" s="235"/>
      <c r="H66" s="260"/>
      <c r="I66" s="260"/>
      <c r="J66" s="262"/>
      <c r="K66" s="262"/>
      <c r="L66" s="262"/>
      <c r="M66" s="262"/>
      <c r="N66" s="263"/>
      <c r="O66" s="263"/>
      <c r="P66" s="263"/>
      <c r="Q66" s="262"/>
      <c r="R66" s="262"/>
      <c r="S66" s="262"/>
      <c r="T66" s="263"/>
      <c r="U66" s="262"/>
      <c r="V66" s="263"/>
      <c r="W66" s="262"/>
      <c r="X66" s="263"/>
      <c r="Y66" s="262"/>
      <c r="Z66" s="260"/>
      <c r="AA66" s="260"/>
      <c r="AB66" s="260"/>
      <c r="AC66" s="260"/>
      <c r="AD66" s="260"/>
      <c r="AE66" s="260"/>
      <c r="AF66" s="260"/>
      <c r="AG66" s="260"/>
      <c r="AH66" s="260"/>
      <c r="AI66" s="260"/>
      <c r="AJ66" s="260"/>
      <c r="AK66" s="260"/>
      <c r="AL66" s="260"/>
      <c r="AM66" s="260"/>
      <c r="AN66" s="260"/>
      <c r="AO66" s="260"/>
      <c r="AP66" s="260"/>
    </row>
    <row r="67" spans="4:43" x14ac:dyDescent="0.35">
      <c r="D67" s="29" t="s">
        <v>962</v>
      </c>
      <c r="G67" s="13"/>
      <c r="I67" t="s">
        <v>154</v>
      </c>
      <c r="AQ67" t="s">
        <v>246</v>
      </c>
    </row>
    <row r="68" spans="4:43" x14ac:dyDescent="0.35">
      <c r="G68" s="13"/>
    </row>
    <row r="69" spans="4:43" x14ac:dyDescent="0.35">
      <c r="E69" s="32" t="s">
        <v>910</v>
      </c>
      <c r="G69" s="13"/>
    </row>
    <row r="70" spans="4:43" x14ac:dyDescent="0.35">
      <c r="E70" s="32"/>
      <c r="F70" s="78" t="s">
        <v>247</v>
      </c>
      <c r="G70" s="78" t="s">
        <v>207</v>
      </c>
      <c r="H70" s="23"/>
      <c r="I70" s="23"/>
      <c r="J70" s="83"/>
      <c r="K70" s="253">
        <v>0</v>
      </c>
      <c r="L70" s="253">
        <v>0</v>
      </c>
      <c r="M70" s="253">
        <v>0</v>
      </c>
      <c r="N70" s="253">
        <v>0</v>
      </c>
      <c r="O70" s="83"/>
      <c r="P70" s="83"/>
      <c r="Q70" s="83"/>
      <c r="R70" s="253">
        <v>0</v>
      </c>
      <c r="S70" s="83"/>
      <c r="T70" s="253">
        <v>0</v>
      </c>
      <c r="U70" s="83"/>
      <c r="V70" s="83"/>
      <c r="W70" s="83"/>
      <c r="X70" s="83"/>
      <c r="Y70" s="83"/>
    </row>
    <row r="71" spans="4:43" x14ac:dyDescent="0.35">
      <c r="E71" s="32"/>
      <c r="F71" s="72" t="s">
        <v>248</v>
      </c>
      <c r="G71" s="72" t="s">
        <v>207</v>
      </c>
      <c r="J71" s="79"/>
      <c r="K71" s="254">
        <v>0</v>
      </c>
      <c r="L71" s="254">
        <v>0</v>
      </c>
      <c r="M71" s="254">
        <v>0</v>
      </c>
      <c r="N71" s="254">
        <v>0</v>
      </c>
      <c r="O71" s="79"/>
      <c r="P71" s="79"/>
      <c r="Q71" s="79"/>
      <c r="R71" s="255">
        <v>0</v>
      </c>
      <c r="S71" s="79"/>
      <c r="T71" s="254">
        <v>0</v>
      </c>
      <c r="U71" s="79"/>
      <c r="V71" s="79"/>
      <c r="W71" s="79"/>
      <c r="X71" s="79"/>
      <c r="Y71" s="79"/>
    </row>
    <row r="72" spans="4:43" x14ac:dyDescent="0.35">
      <c r="E72" s="32"/>
      <c r="F72" s="72" t="s">
        <v>249</v>
      </c>
      <c r="G72" s="72" t="s">
        <v>207</v>
      </c>
      <c r="J72" s="79"/>
      <c r="K72" s="254">
        <v>0</v>
      </c>
      <c r="L72" s="254">
        <v>0</v>
      </c>
      <c r="M72" s="254">
        <v>0</v>
      </c>
      <c r="N72" s="254">
        <v>0</v>
      </c>
      <c r="O72" s="79"/>
      <c r="P72" s="79"/>
      <c r="Q72" s="79"/>
      <c r="R72" s="255">
        <v>0</v>
      </c>
      <c r="S72" s="79"/>
      <c r="T72" s="254">
        <v>0</v>
      </c>
      <c r="U72" s="79"/>
      <c r="V72" s="79"/>
      <c r="W72" s="79"/>
      <c r="X72" s="79"/>
      <c r="Y72" s="79"/>
    </row>
    <row r="73" spans="4:43" x14ac:dyDescent="0.35">
      <c r="E73" s="32"/>
      <c r="F73" s="72" t="s">
        <v>212</v>
      </c>
      <c r="G73" s="72" t="s">
        <v>212</v>
      </c>
      <c r="J73" s="79"/>
      <c r="K73" s="254">
        <v>0</v>
      </c>
      <c r="L73" s="254">
        <v>0</v>
      </c>
      <c r="M73" s="254">
        <v>0</v>
      </c>
      <c r="N73" s="254">
        <v>0</v>
      </c>
      <c r="O73" s="79"/>
      <c r="P73" s="79"/>
      <c r="Q73" s="79"/>
      <c r="R73" s="254">
        <v>0</v>
      </c>
      <c r="S73" s="79"/>
      <c r="T73" s="254">
        <v>0</v>
      </c>
      <c r="U73" s="79"/>
      <c r="V73" s="79"/>
      <c r="W73" s="79"/>
      <c r="X73" s="79"/>
      <c r="Y73" s="79"/>
    </row>
    <row r="74" spans="4:43" x14ac:dyDescent="0.35">
      <c r="E74" s="32"/>
      <c r="F74" s="72" t="s">
        <v>250</v>
      </c>
      <c r="G74" s="72" t="s">
        <v>251</v>
      </c>
      <c r="J74" s="79"/>
      <c r="K74" s="79"/>
      <c r="L74" s="79"/>
      <c r="M74" s="79"/>
      <c r="N74" s="254">
        <v>0</v>
      </c>
      <c r="O74" s="79"/>
      <c r="P74" s="79"/>
      <c r="Q74" s="79"/>
      <c r="R74" s="79"/>
      <c r="S74" s="79"/>
      <c r="T74" s="79"/>
      <c r="U74" s="79"/>
      <c r="V74" s="79"/>
      <c r="W74" s="79"/>
      <c r="X74" s="79"/>
      <c r="Y74" s="79"/>
    </row>
    <row r="75" spans="4:43" x14ac:dyDescent="0.35">
      <c r="E75" s="32"/>
      <c r="F75" s="72" t="s">
        <v>252</v>
      </c>
      <c r="G75" s="72" t="s">
        <v>251</v>
      </c>
      <c r="J75" s="79"/>
      <c r="K75" s="79"/>
      <c r="L75" s="79"/>
      <c r="M75" s="79"/>
      <c r="N75" s="254">
        <v>0</v>
      </c>
      <c r="O75" s="79"/>
      <c r="P75" s="79"/>
      <c r="Q75" s="79"/>
      <c r="R75" s="79"/>
      <c r="S75" s="79"/>
      <c r="T75" s="79"/>
      <c r="U75" s="79"/>
      <c r="V75" s="79"/>
      <c r="W75" s="79"/>
      <c r="X75" s="79"/>
      <c r="Y75" s="79"/>
    </row>
    <row r="76" spans="4:43" x14ac:dyDescent="0.35">
      <c r="E76" s="32"/>
      <c r="F76" s="80" t="s">
        <v>253</v>
      </c>
      <c r="G76" s="80" t="s">
        <v>254</v>
      </c>
      <c r="H76" s="37"/>
      <c r="I76" s="37"/>
      <c r="J76" s="81"/>
      <c r="K76" s="81"/>
      <c r="L76" s="81"/>
      <c r="M76" s="81"/>
      <c r="N76" s="256">
        <v>0</v>
      </c>
      <c r="O76" s="81"/>
      <c r="P76" s="81"/>
      <c r="Q76" s="81"/>
      <c r="R76" s="81"/>
      <c r="S76" s="81"/>
      <c r="T76" s="256">
        <v>0</v>
      </c>
      <c r="U76" s="81"/>
      <c r="V76" s="81"/>
      <c r="W76" s="81"/>
      <c r="X76" s="81"/>
      <c r="Y76" s="81"/>
    </row>
    <row r="77" spans="4:43" x14ac:dyDescent="0.35">
      <c r="E77" s="261"/>
      <c r="F77" s="235"/>
      <c r="G77" s="235"/>
      <c r="H77" s="260"/>
      <c r="I77" s="260"/>
      <c r="J77" s="262"/>
      <c r="K77" s="262"/>
      <c r="L77" s="262"/>
      <c r="M77" s="262"/>
      <c r="N77" s="263"/>
      <c r="O77" s="262"/>
      <c r="P77" s="262"/>
      <c r="Q77" s="262"/>
      <c r="R77" s="262"/>
      <c r="S77" s="262"/>
      <c r="T77" s="263"/>
      <c r="U77" s="262"/>
      <c r="V77" s="263"/>
      <c r="W77" s="262"/>
      <c r="X77" s="263"/>
      <c r="Y77" s="262"/>
      <c r="Z77" s="260"/>
      <c r="AA77" s="260"/>
      <c r="AB77" s="260"/>
      <c r="AC77" s="260"/>
      <c r="AD77" s="260"/>
      <c r="AE77" s="260"/>
      <c r="AF77" s="260"/>
      <c r="AG77" s="260"/>
      <c r="AH77" s="260"/>
      <c r="AI77" s="260"/>
      <c r="AJ77" s="260"/>
      <c r="AK77" s="260"/>
      <c r="AL77" s="260"/>
      <c r="AM77" s="260"/>
      <c r="AN77" s="260"/>
      <c r="AO77" s="260"/>
      <c r="AP77" s="260"/>
    </row>
    <row r="78" spans="4:43" x14ac:dyDescent="0.35">
      <c r="E78" s="32" t="s">
        <v>953</v>
      </c>
      <c r="G78" s="13"/>
    </row>
    <row r="79" spans="4:43" x14ac:dyDescent="0.35">
      <c r="E79" s="32"/>
      <c r="F79" s="78" t="s">
        <v>247</v>
      </c>
      <c r="G79" s="78" t="s">
        <v>207</v>
      </c>
      <c r="H79" s="23"/>
      <c r="I79" s="23"/>
      <c r="J79" s="253">
        <v>1256.8602110655297</v>
      </c>
      <c r="K79" s="83"/>
      <c r="L79" s="253">
        <v>0.51035831735977999</v>
      </c>
      <c r="M79" s="83"/>
      <c r="N79" s="253">
        <v>44.577434832967171</v>
      </c>
      <c r="O79" s="83"/>
      <c r="P79" s="83"/>
      <c r="Q79" s="253">
        <v>4.4156000000000057</v>
      </c>
      <c r="R79" s="83"/>
      <c r="S79" s="83"/>
      <c r="T79" s="83"/>
      <c r="U79" s="83"/>
      <c r="V79" s="83"/>
      <c r="W79" s="83"/>
      <c r="X79" s="83"/>
      <c r="Y79" s="83"/>
    </row>
    <row r="80" spans="4:43" x14ac:dyDescent="0.35">
      <c r="E80" s="32"/>
      <c r="F80" s="72" t="s">
        <v>248</v>
      </c>
      <c r="G80" s="72" t="s">
        <v>207</v>
      </c>
      <c r="J80" s="254">
        <v>4351.0341653864743</v>
      </c>
      <c r="K80" s="79"/>
      <c r="L80" s="254">
        <v>2.9862856345890574</v>
      </c>
      <c r="M80" s="331"/>
      <c r="N80" s="254">
        <v>248.48928471097409</v>
      </c>
      <c r="O80" s="79"/>
      <c r="P80" s="79"/>
      <c r="Q80" s="255">
        <v>146.81940000000003</v>
      </c>
      <c r="R80" s="79"/>
      <c r="S80" s="79"/>
      <c r="T80" s="79"/>
      <c r="U80" s="79"/>
      <c r="V80" s="79"/>
      <c r="W80" s="79"/>
      <c r="X80" s="79"/>
      <c r="Y80" s="79"/>
    </row>
    <row r="81" spans="5:42" x14ac:dyDescent="0.35">
      <c r="E81" s="32"/>
      <c r="F81" s="72" t="s">
        <v>249</v>
      </c>
      <c r="G81" s="72" t="s">
        <v>207</v>
      </c>
      <c r="J81" s="254">
        <v>3226.095715157287</v>
      </c>
      <c r="K81" s="79"/>
      <c r="L81" s="254">
        <v>1.5205414991995714</v>
      </c>
      <c r="M81" s="331"/>
      <c r="N81" s="254">
        <v>122.73728250359953</v>
      </c>
      <c r="O81" s="79"/>
      <c r="P81" s="79"/>
      <c r="Q81" s="255">
        <v>49.511599999999994</v>
      </c>
      <c r="R81" s="79"/>
      <c r="S81" s="79"/>
      <c r="T81" s="79"/>
      <c r="U81" s="79"/>
      <c r="V81" s="79"/>
      <c r="W81" s="79"/>
      <c r="X81" s="79"/>
      <c r="Y81" s="79"/>
    </row>
    <row r="82" spans="5:42" x14ac:dyDescent="0.35">
      <c r="E82" s="32"/>
      <c r="F82" s="72" t="s">
        <v>212</v>
      </c>
      <c r="G82" s="72" t="s">
        <v>212</v>
      </c>
      <c r="J82" s="254">
        <v>3073.516129032258</v>
      </c>
      <c r="K82" s="79"/>
      <c r="L82" s="254">
        <v>6.3790580040319442</v>
      </c>
      <c r="M82" s="331"/>
      <c r="N82" s="254">
        <v>4.7852380213986665</v>
      </c>
      <c r="O82" s="79"/>
      <c r="P82" s="79"/>
      <c r="Q82" s="254">
        <v>2</v>
      </c>
      <c r="R82" s="79"/>
      <c r="S82" s="79"/>
      <c r="T82" s="79"/>
      <c r="U82" s="79"/>
      <c r="V82" s="79"/>
      <c r="W82" s="79"/>
      <c r="X82" s="79"/>
      <c r="Y82" s="79"/>
    </row>
    <row r="83" spans="5:42" x14ac:dyDescent="0.35">
      <c r="E83" s="32"/>
      <c r="F83" s="72" t="s">
        <v>250</v>
      </c>
      <c r="G83" s="72" t="s">
        <v>251</v>
      </c>
      <c r="J83" s="79"/>
      <c r="K83" s="79"/>
      <c r="L83" s="79"/>
      <c r="M83" s="331"/>
      <c r="N83" s="254">
        <v>447.28615823346883</v>
      </c>
      <c r="O83" s="79"/>
      <c r="P83" s="79"/>
      <c r="Q83" s="79"/>
      <c r="R83" s="79"/>
      <c r="S83" s="79"/>
      <c r="T83" s="79"/>
      <c r="U83" s="79"/>
      <c r="V83" s="79"/>
      <c r="W83" s="79"/>
      <c r="X83" s="79"/>
      <c r="Y83" s="79"/>
    </row>
    <row r="84" spans="5:42" x14ac:dyDescent="0.35">
      <c r="E84" s="32"/>
      <c r="F84" s="72" t="s">
        <v>252</v>
      </c>
      <c r="G84" s="72" t="s">
        <v>251</v>
      </c>
      <c r="J84" s="79"/>
      <c r="K84" s="79"/>
      <c r="L84" s="79"/>
      <c r="M84" s="331"/>
      <c r="N84" s="254">
        <v>0</v>
      </c>
      <c r="O84" s="79"/>
      <c r="P84" s="79"/>
      <c r="Q84" s="79"/>
      <c r="R84" s="79"/>
      <c r="S84" s="79"/>
      <c r="T84" s="79"/>
      <c r="U84" s="79"/>
      <c r="V84" s="79"/>
      <c r="W84" s="79"/>
      <c r="X84" s="79"/>
      <c r="Y84" s="79"/>
    </row>
    <row r="85" spans="5:42" x14ac:dyDescent="0.35">
      <c r="E85" s="32"/>
      <c r="F85" s="80" t="s">
        <v>253</v>
      </c>
      <c r="G85" s="80" t="s">
        <v>254</v>
      </c>
      <c r="H85" s="37"/>
      <c r="I85" s="37"/>
      <c r="J85" s="81"/>
      <c r="K85" s="81"/>
      <c r="L85" s="81"/>
      <c r="M85" s="81"/>
      <c r="N85" s="256">
        <v>20.740566745371542</v>
      </c>
      <c r="O85" s="81"/>
      <c r="P85" s="81"/>
      <c r="Q85" s="81"/>
      <c r="R85" s="81"/>
      <c r="S85" s="81"/>
      <c r="T85" s="81"/>
      <c r="U85" s="81"/>
      <c r="V85" s="81"/>
      <c r="W85" s="81"/>
      <c r="X85" s="81"/>
      <c r="Y85" s="81"/>
    </row>
    <row r="86" spans="5:42" x14ac:dyDescent="0.35">
      <c r="E86" s="261"/>
      <c r="F86" s="235"/>
      <c r="G86" s="235"/>
      <c r="H86" s="260"/>
      <c r="I86" s="260"/>
      <c r="J86" s="262"/>
      <c r="K86" s="262"/>
      <c r="L86" s="262"/>
      <c r="M86" s="262"/>
      <c r="N86" s="263"/>
      <c r="O86" s="262"/>
      <c r="P86" s="262"/>
      <c r="Q86" s="262"/>
      <c r="R86" s="262"/>
      <c r="S86" s="262"/>
      <c r="T86" s="263"/>
      <c r="U86" s="262"/>
      <c r="V86" s="263"/>
      <c r="W86" s="262"/>
      <c r="X86" s="263"/>
      <c r="Y86" s="262"/>
      <c r="Z86" s="260"/>
      <c r="AA86" s="260"/>
      <c r="AB86" s="260"/>
      <c r="AC86" s="260"/>
      <c r="AD86" s="260"/>
      <c r="AE86" s="260"/>
      <c r="AF86" s="260"/>
      <c r="AG86" s="260"/>
      <c r="AH86" s="260"/>
      <c r="AI86" s="260"/>
      <c r="AJ86" s="260"/>
      <c r="AK86" s="260"/>
      <c r="AL86" s="260"/>
      <c r="AM86" s="260"/>
      <c r="AN86" s="260"/>
      <c r="AO86" s="260"/>
      <c r="AP86" s="260"/>
    </row>
    <row r="87" spans="5:42" x14ac:dyDescent="0.35">
      <c r="E87" s="32" t="s">
        <v>954</v>
      </c>
      <c r="G87" s="13"/>
    </row>
    <row r="88" spans="5:42" x14ac:dyDescent="0.35">
      <c r="E88" s="32"/>
      <c r="F88" s="78" t="s">
        <v>247</v>
      </c>
      <c r="G88" s="78" t="s">
        <v>207</v>
      </c>
      <c r="H88" s="23"/>
      <c r="I88" s="23"/>
      <c r="J88" s="83"/>
      <c r="K88" s="83"/>
      <c r="L88" s="253">
        <v>2.4498207867287287</v>
      </c>
      <c r="M88" s="83"/>
      <c r="N88" s="253">
        <v>45.797120152287505</v>
      </c>
      <c r="O88" s="83"/>
      <c r="P88" s="83"/>
      <c r="Q88" s="83"/>
      <c r="R88" s="83"/>
      <c r="S88" s="83"/>
      <c r="T88" s="83"/>
      <c r="U88" s="83"/>
      <c r="V88" s="83"/>
      <c r="W88" s="83"/>
      <c r="X88" s="83"/>
      <c r="Y88" s="83"/>
    </row>
    <row r="89" spans="5:42" x14ac:dyDescent="0.35">
      <c r="E89" s="32"/>
      <c r="F89" s="72" t="s">
        <v>248</v>
      </c>
      <c r="G89" s="72" t="s">
        <v>207</v>
      </c>
      <c r="J89" s="79"/>
      <c r="K89" s="79"/>
      <c r="L89" s="254">
        <v>14.334761233191198</v>
      </c>
      <c r="M89" s="79"/>
      <c r="N89" s="254">
        <v>255.28821187459465</v>
      </c>
      <c r="O89" s="79"/>
      <c r="P89" s="79"/>
      <c r="Q89" s="79"/>
      <c r="R89" s="79"/>
      <c r="S89" s="79"/>
      <c r="T89" s="79"/>
      <c r="U89" s="79"/>
      <c r="V89" s="79"/>
      <c r="W89" s="79"/>
      <c r="X89" s="79"/>
      <c r="Y89" s="79"/>
    </row>
    <row r="90" spans="5:42" x14ac:dyDescent="0.35">
      <c r="E90" s="32"/>
      <c r="F90" s="72" t="s">
        <v>249</v>
      </c>
      <c r="G90" s="72" t="s">
        <v>207</v>
      </c>
      <c r="J90" s="79"/>
      <c r="K90" s="79"/>
      <c r="L90" s="254">
        <v>7.29889970461043</v>
      </c>
      <c r="M90" s="79"/>
      <c r="N90" s="254">
        <v>126.09550314065156</v>
      </c>
      <c r="O90" s="79"/>
      <c r="P90" s="79"/>
      <c r="Q90" s="79"/>
      <c r="R90" s="79"/>
      <c r="S90" s="79"/>
      <c r="T90" s="79"/>
      <c r="U90" s="79"/>
      <c r="V90" s="79"/>
      <c r="W90" s="79"/>
      <c r="X90" s="79"/>
      <c r="Y90" s="79"/>
    </row>
    <row r="91" spans="5:42" x14ac:dyDescent="0.35">
      <c r="E91" s="32"/>
      <c r="F91" s="72" t="s">
        <v>212</v>
      </c>
      <c r="G91" s="72" t="s">
        <v>212</v>
      </c>
      <c r="J91" s="79"/>
      <c r="K91" s="79"/>
      <c r="L91" s="254">
        <v>5.1746259801678187</v>
      </c>
      <c r="M91" s="79"/>
      <c r="N91" s="254">
        <v>2.5755931152116607</v>
      </c>
      <c r="O91" s="79"/>
      <c r="P91" s="79"/>
      <c r="Q91" s="79"/>
      <c r="R91" s="79"/>
      <c r="S91" s="79"/>
      <c r="T91" s="79"/>
      <c r="U91" s="79"/>
      <c r="V91" s="79"/>
      <c r="W91" s="79"/>
      <c r="X91" s="79"/>
      <c r="Y91" s="79"/>
    </row>
    <row r="92" spans="5:42" x14ac:dyDescent="0.35">
      <c r="E92" s="32"/>
      <c r="F92" s="72" t="s">
        <v>250</v>
      </c>
      <c r="G92" s="72" t="s">
        <v>251</v>
      </c>
      <c r="J92" s="79"/>
      <c r="K92" s="79"/>
      <c r="L92" s="79"/>
      <c r="M92" s="79"/>
      <c r="N92" s="254">
        <v>459.52437612951286</v>
      </c>
      <c r="O92" s="79"/>
      <c r="P92" s="79"/>
      <c r="Q92" s="79"/>
      <c r="R92" s="79"/>
      <c r="S92" s="79"/>
      <c r="T92" s="79"/>
      <c r="U92" s="79"/>
      <c r="V92" s="79"/>
      <c r="W92" s="79"/>
      <c r="X92" s="79"/>
      <c r="Y92" s="79"/>
    </row>
    <row r="93" spans="5:42" x14ac:dyDescent="0.35">
      <c r="E93" s="32"/>
      <c r="F93" s="72" t="s">
        <v>252</v>
      </c>
      <c r="G93" s="72" t="s">
        <v>251</v>
      </c>
      <c r="J93" s="79"/>
      <c r="K93" s="79"/>
      <c r="L93" s="79"/>
      <c r="M93" s="79"/>
      <c r="N93" s="254">
        <v>0</v>
      </c>
      <c r="O93" s="79"/>
      <c r="P93" s="79"/>
      <c r="Q93" s="79"/>
      <c r="R93" s="79"/>
      <c r="S93" s="79"/>
      <c r="T93" s="79"/>
      <c r="U93" s="79"/>
      <c r="V93" s="79"/>
      <c r="W93" s="79"/>
      <c r="X93" s="79"/>
      <c r="Y93" s="79"/>
    </row>
    <row r="94" spans="5:42" x14ac:dyDescent="0.35">
      <c r="E94" s="32"/>
      <c r="F94" s="80" t="s">
        <v>253</v>
      </c>
      <c r="G94" s="80" t="s">
        <v>254</v>
      </c>
      <c r="H94" s="37"/>
      <c r="I94" s="37"/>
      <c r="J94" s="81"/>
      <c r="K94" s="81"/>
      <c r="L94" s="81"/>
      <c r="M94" s="81"/>
      <c r="N94" s="256">
        <v>21.308050380724307</v>
      </c>
      <c r="O94" s="81"/>
      <c r="P94" s="81"/>
      <c r="Q94" s="81"/>
      <c r="R94" s="81"/>
      <c r="S94" s="81"/>
      <c r="T94" s="81"/>
      <c r="U94" s="81"/>
      <c r="V94" s="81"/>
      <c r="W94" s="81"/>
      <c r="X94" s="81"/>
      <c r="Y94" s="81"/>
    </row>
    <row r="95" spans="5:42" x14ac:dyDescent="0.35">
      <c r="E95" s="261"/>
      <c r="F95" s="235"/>
      <c r="G95" s="235"/>
      <c r="H95" s="260"/>
      <c r="I95" s="260"/>
      <c r="J95" s="262"/>
      <c r="K95" s="262"/>
      <c r="L95" s="262"/>
      <c r="M95" s="262"/>
      <c r="N95" s="263"/>
      <c r="O95" s="262"/>
      <c r="P95" s="262"/>
      <c r="Q95" s="262"/>
      <c r="R95" s="262"/>
      <c r="S95" s="262"/>
      <c r="T95" s="263"/>
      <c r="U95" s="262"/>
      <c r="V95" s="263"/>
      <c r="W95" s="262"/>
      <c r="X95" s="263"/>
      <c r="Y95" s="262"/>
      <c r="Z95" s="260"/>
      <c r="AA95" s="260"/>
      <c r="AB95" s="260"/>
      <c r="AC95" s="260"/>
      <c r="AD95" s="260"/>
      <c r="AE95" s="260"/>
      <c r="AF95" s="260"/>
      <c r="AG95" s="260"/>
      <c r="AH95" s="260"/>
      <c r="AI95" s="260"/>
      <c r="AJ95" s="260"/>
      <c r="AK95" s="260"/>
      <c r="AL95" s="260"/>
      <c r="AM95" s="260"/>
      <c r="AN95" s="260"/>
      <c r="AO95" s="260"/>
      <c r="AP95" s="260"/>
    </row>
    <row r="96" spans="5:42" x14ac:dyDescent="0.35">
      <c r="E96" s="32" t="s">
        <v>955</v>
      </c>
      <c r="G96" s="13"/>
    </row>
    <row r="97" spans="5:42" x14ac:dyDescent="0.35">
      <c r="E97" s="32"/>
      <c r="F97" s="78" t="s">
        <v>247</v>
      </c>
      <c r="G97" s="78" t="s">
        <v>207</v>
      </c>
      <c r="H97" s="23"/>
      <c r="I97" s="23"/>
      <c r="J97" s="83"/>
      <c r="K97" s="83"/>
      <c r="L97" s="253">
        <v>3.4133968215722494</v>
      </c>
      <c r="M97" s="83"/>
      <c r="N97" s="253">
        <v>34.627692557253873</v>
      </c>
      <c r="O97" s="83"/>
      <c r="P97" s="83"/>
      <c r="Q97" s="83"/>
      <c r="R97" s="83"/>
      <c r="S97" s="83"/>
      <c r="T97" s="83"/>
      <c r="U97" s="83"/>
      <c r="V97" s="83"/>
      <c r="W97" s="83"/>
      <c r="X97" s="83"/>
      <c r="Y97" s="83"/>
    </row>
    <row r="98" spans="5:42" x14ac:dyDescent="0.35">
      <c r="E98" s="32"/>
      <c r="F98" s="72" t="s">
        <v>248</v>
      </c>
      <c r="G98" s="72" t="s">
        <v>207</v>
      </c>
      <c r="J98" s="79"/>
      <c r="K98" s="79"/>
      <c r="L98" s="254">
        <v>19.972982797941306</v>
      </c>
      <c r="M98" s="79"/>
      <c r="N98" s="254">
        <v>193.02614847591028</v>
      </c>
      <c r="O98" s="79"/>
      <c r="P98" s="79"/>
      <c r="Q98" s="79"/>
      <c r="R98" s="79"/>
      <c r="S98" s="79"/>
      <c r="T98" s="79"/>
      <c r="U98" s="79"/>
      <c r="V98" s="79"/>
      <c r="W98" s="79"/>
      <c r="X98" s="79"/>
      <c r="Y98" s="79"/>
    </row>
    <row r="99" spans="5:42" x14ac:dyDescent="0.35">
      <c r="E99" s="32"/>
      <c r="F99" s="72" t="s">
        <v>249</v>
      </c>
      <c r="G99" s="72" t="s">
        <v>207</v>
      </c>
      <c r="J99" s="79"/>
      <c r="K99" s="79"/>
      <c r="L99" s="254">
        <v>10.169740246983475</v>
      </c>
      <c r="M99" s="79"/>
      <c r="N99" s="254">
        <v>95.342159094006419</v>
      </c>
      <c r="O99" s="79"/>
      <c r="P99" s="79"/>
      <c r="Q99" s="79"/>
      <c r="R99" s="79"/>
      <c r="S99" s="79"/>
      <c r="T99" s="79"/>
      <c r="U99" s="79"/>
      <c r="V99" s="79"/>
      <c r="W99" s="79"/>
      <c r="X99" s="79"/>
      <c r="Y99" s="79"/>
    </row>
    <row r="100" spans="5:42" x14ac:dyDescent="0.35">
      <c r="E100" s="32"/>
      <c r="F100" s="72" t="s">
        <v>212</v>
      </c>
      <c r="G100" s="72" t="s">
        <v>212</v>
      </c>
      <c r="J100" s="79"/>
      <c r="K100" s="79"/>
      <c r="L100" s="254">
        <v>2.9217900304581077</v>
      </c>
      <c r="M100" s="79"/>
      <c r="N100" s="254">
        <v>1.1846797953171033</v>
      </c>
      <c r="O100" s="79"/>
      <c r="P100" s="79"/>
      <c r="Q100" s="79"/>
      <c r="R100" s="79"/>
      <c r="S100" s="79"/>
      <c r="T100" s="79"/>
      <c r="U100" s="79"/>
      <c r="V100" s="79"/>
      <c r="W100" s="79"/>
      <c r="X100" s="79"/>
      <c r="Y100" s="79"/>
    </row>
    <row r="101" spans="5:42" x14ac:dyDescent="0.35">
      <c r="E101" s="32"/>
      <c r="F101" s="72" t="s">
        <v>250</v>
      </c>
      <c r="G101" s="72" t="s">
        <v>251</v>
      </c>
      <c r="J101" s="79"/>
      <c r="K101" s="79"/>
      <c r="L101" s="79"/>
      <c r="M101" s="79"/>
      <c r="N101" s="254">
        <v>347.4512975109389</v>
      </c>
      <c r="O101" s="79"/>
      <c r="P101" s="79"/>
      <c r="Q101" s="79"/>
      <c r="R101" s="79"/>
      <c r="S101" s="79"/>
      <c r="T101" s="79"/>
      <c r="U101" s="79"/>
      <c r="V101" s="79"/>
      <c r="W101" s="79"/>
      <c r="X101" s="79"/>
      <c r="Y101" s="79"/>
    </row>
    <row r="102" spans="5:42" x14ac:dyDescent="0.35">
      <c r="E102" s="32"/>
      <c r="F102" s="72" t="s">
        <v>252</v>
      </c>
      <c r="G102" s="72" t="s">
        <v>251</v>
      </c>
      <c r="J102" s="79"/>
      <c r="K102" s="79"/>
      <c r="L102" s="79"/>
      <c r="M102" s="79"/>
      <c r="N102" s="254">
        <v>0</v>
      </c>
      <c r="O102" s="79"/>
      <c r="P102" s="79"/>
      <c r="Q102" s="79"/>
      <c r="R102" s="79"/>
      <c r="S102" s="79"/>
      <c r="T102" s="79"/>
      <c r="U102" s="79"/>
      <c r="V102" s="79"/>
      <c r="W102" s="79"/>
      <c r="X102" s="79"/>
      <c r="Y102" s="79"/>
    </row>
    <row r="103" spans="5:42" x14ac:dyDescent="0.35">
      <c r="E103" s="32"/>
      <c r="F103" s="80" t="s">
        <v>253</v>
      </c>
      <c r="G103" s="80" t="s">
        <v>254</v>
      </c>
      <c r="H103" s="37"/>
      <c r="I103" s="37"/>
      <c r="J103" s="81"/>
      <c r="K103" s="81"/>
      <c r="L103" s="81"/>
      <c r="M103" s="81"/>
      <c r="N103" s="256">
        <v>16.111244880129064</v>
      </c>
      <c r="O103" s="81"/>
      <c r="P103" s="81"/>
      <c r="Q103" s="81"/>
      <c r="R103" s="81"/>
      <c r="S103" s="81"/>
      <c r="T103" s="81"/>
      <c r="U103" s="81"/>
      <c r="V103" s="81"/>
      <c r="W103" s="81"/>
      <c r="X103" s="81"/>
      <c r="Y103" s="81"/>
    </row>
    <row r="104" spans="5:42" x14ac:dyDescent="0.35">
      <c r="E104" s="261"/>
      <c r="F104" s="235"/>
      <c r="G104" s="235"/>
      <c r="H104" s="260"/>
      <c r="I104" s="260"/>
      <c r="J104" s="262"/>
      <c r="K104" s="262"/>
      <c r="L104" s="262"/>
      <c r="M104" s="262"/>
      <c r="N104" s="263"/>
      <c r="O104" s="262"/>
      <c r="P104" s="262"/>
      <c r="Q104" s="262"/>
      <c r="R104" s="262"/>
      <c r="S104" s="262"/>
      <c r="T104" s="263"/>
      <c r="U104" s="262"/>
      <c r="V104" s="263"/>
      <c r="W104" s="262"/>
      <c r="X104" s="263"/>
      <c r="Y104" s="262"/>
      <c r="Z104" s="260"/>
      <c r="AA104" s="260"/>
      <c r="AB104" s="260"/>
      <c r="AC104" s="260"/>
      <c r="AD104" s="260"/>
      <c r="AE104" s="260"/>
      <c r="AF104" s="260"/>
      <c r="AG104" s="260"/>
      <c r="AH104" s="260"/>
      <c r="AI104" s="260"/>
      <c r="AJ104" s="260"/>
      <c r="AK104" s="260"/>
      <c r="AL104" s="260"/>
      <c r="AM104" s="260"/>
      <c r="AN104" s="260"/>
      <c r="AO104" s="260"/>
      <c r="AP104" s="260"/>
    </row>
    <row r="105" spans="5:42" x14ac:dyDescent="0.35">
      <c r="E105" s="32" t="s">
        <v>956</v>
      </c>
      <c r="G105" s="13"/>
    </row>
    <row r="106" spans="5:42" x14ac:dyDescent="0.35">
      <c r="E106" s="32"/>
      <c r="F106" s="78" t="s">
        <v>247</v>
      </c>
      <c r="G106" s="78" t="s">
        <v>207</v>
      </c>
      <c r="H106" s="23"/>
      <c r="I106" s="23"/>
      <c r="J106" s="83"/>
      <c r="K106" s="83"/>
      <c r="L106" s="253">
        <v>9.0335722191863557</v>
      </c>
      <c r="M106" s="83"/>
      <c r="N106" s="253">
        <v>94.254160972011633</v>
      </c>
      <c r="O106" s="83"/>
      <c r="P106" s="83"/>
      <c r="Q106" s="83"/>
      <c r="R106" s="83"/>
      <c r="S106" s="83"/>
      <c r="T106" s="83"/>
      <c r="U106" s="83"/>
      <c r="V106" s="83"/>
      <c r="W106" s="83"/>
      <c r="X106" s="83"/>
      <c r="Y106" s="83"/>
    </row>
    <row r="107" spans="5:42" x14ac:dyDescent="0.35">
      <c r="E107" s="32"/>
      <c r="F107" s="72" t="s">
        <v>248</v>
      </c>
      <c r="G107" s="72" t="s">
        <v>207</v>
      </c>
      <c r="J107" s="79"/>
      <c r="K107" s="79"/>
      <c r="L107" s="254">
        <v>52.858601554173426</v>
      </c>
      <c r="M107" s="79"/>
      <c r="N107" s="254">
        <v>525.40369648293677</v>
      </c>
      <c r="O107" s="79"/>
      <c r="P107" s="79"/>
      <c r="Q107" s="79"/>
      <c r="R107" s="79"/>
      <c r="S107" s="79"/>
      <c r="T107" s="79"/>
      <c r="U107" s="79"/>
      <c r="V107" s="79"/>
      <c r="W107" s="79"/>
      <c r="X107" s="79"/>
      <c r="Y107" s="79"/>
    </row>
    <row r="108" spans="5:42" x14ac:dyDescent="0.35">
      <c r="E108" s="32"/>
      <c r="F108" s="72" t="s">
        <v>249</v>
      </c>
      <c r="G108" s="72" t="s">
        <v>207</v>
      </c>
      <c r="J108" s="79"/>
      <c r="K108" s="79"/>
      <c r="L108" s="254">
        <v>26.914269794502051</v>
      </c>
      <c r="M108" s="79"/>
      <c r="N108" s="254">
        <v>259.51469898860285</v>
      </c>
      <c r="O108" s="79"/>
      <c r="P108" s="79"/>
      <c r="Q108" s="79"/>
      <c r="R108" s="79"/>
      <c r="S108" s="79"/>
      <c r="T108" s="79"/>
      <c r="U108" s="79"/>
      <c r="V108" s="79"/>
      <c r="W108" s="79"/>
      <c r="X108" s="79"/>
      <c r="Y108" s="79"/>
    </row>
    <row r="109" spans="5:42" x14ac:dyDescent="0.35">
      <c r="E109" s="32"/>
      <c r="F109" s="72" t="s">
        <v>212</v>
      </c>
      <c r="G109" s="72" t="s">
        <v>212</v>
      </c>
      <c r="J109" s="79"/>
      <c r="K109" s="79"/>
      <c r="L109" s="254">
        <v>2.3632356627614848</v>
      </c>
      <c r="M109" s="79"/>
      <c r="N109" s="254">
        <v>1.4544890680725695</v>
      </c>
      <c r="O109" s="79"/>
      <c r="P109" s="79"/>
      <c r="Q109" s="79"/>
      <c r="R109" s="79"/>
      <c r="S109" s="79"/>
      <c r="T109" s="79"/>
      <c r="U109" s="79"/>
      <c r="V109" s="79"/>
      <c r="W109" s="79"/>
      <c r="X109" s="79"/>
      <c r="Y109" s="79"/>
    </row>
    <row r="110" spans="5:42" x14ac:dyDescent="0.35">
      <c r="E110" s="32"/>
      <c r="F110" s="72" t="s">
        <v>250</v>
      </c>
      <c r="G110" s="72" t="s">
        <v>251</v>
      </c>
      <c r="J110" s="79"/>
      <c r="K110" s="79"/>
      <c r="L110" s="79"/>
      <c r="M110" s="79"/>
      <c r="N110" s="254">
        <v>945.73816812607902</v>
      </c>
      <c r="O110" s="79"/>
      <c r="P110" s="79"/>
      <c r="Q110" s="79"/>
      <c r="R110" s="79"/>
      <c r="S110" s="79"/>
      <c r="T110" s="79"/>
      <c r="U110" s="79"/>
      <c r="V110" s="79"/>
      <c r="W110" s="79"/>
      <c r="X110" s="79"/>
      <c r="Y110" s="79"/>
    </row>
    <row r="111" spans="5:42" x14ac:dyDescent="0.35">
      <c r="E111" s="32"/>
      <c r="F111" s="72" t="s">
        <v>252</v>
      </c>
      <c r="G111" s="72" t="s">
        <v>251</v>
      </c>
      <c r="J111" s="79"/>
      <c r="K111" s="79"/>
      <c r="L111" s="79"/>
      <c r="M111" s="79"/>
      <c r="N111" s="254">
        <v>0</v>
      </c>
      <c r="O111" s="79"/>
      <c r="P111" s="79"/>
      <c r="Q111" s="79"/>
      <c r="R111" s="79"/>
      <c r="S111" s="79"/>
      <c r="T111" s="79"/>
      <c r="U111" s="79"/>
      <c r="V111" s="79"/>
      <c r="W111" s="79"/>
      <c r="X111" s="79"/>
      <c r="Y111" s="79"/>
    </row>
    <row r="112" spans="5:42" x14ac:dyDescent="0.35">
      <c r="E112" s="32"/>
      <c r="F112" s="80" t="s">
        <v>253</v>
      </c>
      <c r="G112" s="80" t="s">
        <v>254</v>
      </c>
      <c r="H112" s="37"/>
      <c r="I112" s="37"/>
      <c r="J112" s="81"/>
      <c r="K112" s="81"/>
      <c r="L112" s="81"/>
      <c r="M112" s="81"/>
      <c r="N112" s="256">
        <v>43.853683461015763</v>
      </c>
      <c r="O112" s="81"/>
      <c r="P112" s="81"/>
      <c r="Q112" s="81"/>
      <c r="R112" s="81"/>
      <c r="S112" s="81"/>
      <c r="T112" s="81"/>
      <c r="U112" s="81"/>
      <c r="V112" s="81"/>
      <c r="W112" s="81"/>
      <c r="X112" s="81"/>
      <c r="Y112" s="81"/>
    </row>
    <row r="113" spans="4:43" x14ac:dyDescent="0.35">
      <c r="E113" s="261"/>
      <c r="F113" s="235"/>
      <c r="G113" s="235"/>
      <c r="H113" s="260"/>
      <c r="I113" s="260"/>
      <c r="J113" s="262"/>
      <c r="K113" s="262"/>
      <c r="L113" s="262"/>
      <c r="M113" s="262"/>
      <c r="N113" s="263"/>
      <c r="O113" s="263"/>
      <c r="P113" s="263"/>
      <c r="Q113" s="262"/>
      <c r="R113" s="262"/>
      <c r="S113" s="262"/>
      <c r="T113" s="263"/>
      <c r="U113" s="262"/>
      <c r="V113" s="263"/>
      <c r="W113" s="262"/>
      <c r="X113" s="263"/>
      <c r="Y113" s="262"/>
      <c r="Z113" s="260"/>
      <c r="AA113" s="260"/>
      <c r="AB113" s="260"/>
      <c r="AC113" s="260"/>
      <c r="AD113" s="260"/>
      <c r="AE113" s="260"/>
      <c r="AF113" s="260"/>
      <c r="AG113" s="260"/>
      <c r="AH113" s="260"/>
      <c r="AI113" s="260"/>
      <c r="AJ113" s="260"/>
      <c r="AK113" s="260"/>
      <c r="AL113" s="260"/>
      <c r="AM113" s="260"/>
      <c r="AN113" s="260"/>
      <c r="AO113" s="260"/>
      <c r="AP113" s="260"/>
    </row>
    <row r="114" spans="4:43" x14ac:dyDescent="0.35">
      <c r="D114" s="29" t="s">
        <v>963</v>
      </c>
      <c r="G114" s="13"/>
      <c r="I114" t="s">
        <v>154</v>
      </c>
      <c r="AQ114" t="s">
        <v>246</v>
      </c>
    </row>
    <row r="115" spans="4:43" x14ac:dyDescent="0.35">
      <c r="G115" s="13"/>
    </row>
    <row r="116" spans="4:43" x14ac:dyDescent="0.35">
      <c r="E116" s="32" t="s">
        <v>911</v>
      </c>
      <c r="G116" s="13"/>
    </row>
    <row r="117" spans="4:43" x14ac:dyDescent="0.35">
      <c r="E117" s="32"/>
      <c r="F117" s="78" t="s">
        <v>247</v>
      </c>
      <c r="G117" s="78" t="s">
        <v>207</v>
      </c>
      <c r="H117" s="23"/>
      <c r="I117" s="23"/>
      <c r="J117" s="83"/>
      <c r="K117" s="253">
        <v>0</v>
      </c>
      <c r="L117" s="253">
        <v>0</v>
      </c>
      <c r="M117" s="253">
        <v>0</v>
      </c>
      <c r="N117" s="253">
        <v>0</v>
      </c>
      <c r="O117" s="253">
        <v>0</v>
      </c>
      <c r="P117" s="253">
        <v>0</v>
      </c>
      <c r="Q117" s="83"/>
      <c r="R117" s="253">
        <v>0</v>
      </c>
      <c r="S117" s="253">
        <v>0</v>
      </c>
      <c r="T117" s="253">
        <v>0</v>
      </c>
      <c r="U117" s="83"/>
      <c r="V117" s="253">
        <v>0</v>
      </c>
      <c r="W117" s="83"/>
      <c r="X117" s="253">
        <v>0</v>
      </c>
      <c r="Y117" s="83"/>
    </row>
    <row r="118" spans="4:43" x14ac:dyDescent="0.35">
      <c r="E118" s="32"/>
      <c r="F118" s="72" t="s">
        <v>248</v>
      </c>
      <c r="G118" s="72" t="s">
        <v>207</v>
      </c>
      <c r="J118" s="79"/>
      <c r="K118" s="254">
        <v>0</v>
      </c>
      <c r="L118" s="254">
        <v>0</v>
      </c>
      <c r="M118" s="254">
        <v>0</v>
      </c>
      <c r="N118" s="254">
        <v>0</v>
      </c>
      <c r="O118" s="254">
        <v>0</v>
      </c>
      <c r="P118" s="254">
        <v>0</v>
      </c>
      <c r="Q118" s="79"/>
      <c r="R118" s="255">
        <v>0</v>
      </c>
      <c r="S118" s="255">
        <v>0</v>
      </c>
      <c r="T118" s="254">
        <v>0</v>
      </c>
      <c r="U118" s="79"/>
      <c r="V118" s="254">
        <v>0</v>
      </c>
      <c r="W118" s="79"/>
      <c r="X118" s="254">
        <v>0</v>
      </c>
      <c r="Y118" s="79"/>
    </row>
    <row r="119" spans="4:43" x14ac:dyDescent="0.35">
      <c r="E119" s="32"/>
      <c r="F119" s="72" t="s">
        <v>249</v>
      </c>
      <c r="G119" s="72" t="s">
        <v>207</v>
      </c>
      <c r="J119" s="79"/>
      <c r="K119" s="254">
        <v>0</v>
      </c>
      <c r="L119" s="254">
        <v>0</v>
      </c>
      <c r="M119" s="254">
        <v>0</v>
      </c>
      <c r="N119" s="254">
        <v>0</v>
      </c>
      <c r="O119" s="254">
        <v>0</v>
      </c>
      <c r="P119" s="254">
        <v>0</v>
      </c>
      <c r="Q119" s="79"/>
      <c r="R119" s="255">
        <v>0</v>
      </c>
      <c r="S119" s="255">
        <v>0</v>
      </c>
      <c r="T119" s="254">
        <v>0</v>
      </c>
      <c r="U119" s="79"/>
      <c r="V119" s="254">
        <v>0</v>
      </c>
      <c r="W119" s="79"/>
      <c r="X119" s="254">
        <v>0</v>
      </c>
      <c r="Y119" s="79"/>
    </row>
    <row r="120" spans="4:43" x14ac:dyDescent="0.35">
      <c r="E120" s="32"/>
      <c r="F120" s="72" t="s">
        <v>212</v>
      </c>
      <c r="G120" s="72" t="s">
        <v>212</v>
      </c>
      <c r="J120" s="79"/>
      <c r="K120" s="254">
        <v>0</v>
      </c>
      <c r="L120" s="254">
        <v>0</v>
      </c>
      <c r="M120" s="254">
        <v>0</v>
      </c>
      <c r="N120" s="254">
        <v>0</v>
      </c>
      <c r="O120" s="254">
        <v>0</v>
      </c>
      <c r="P120" s="254">
        <v>0</v>
      </c>
      <c r="Q120" s="79"/>
      <c r="R120" s="254">
        <v>0</v>
      </c>
      <c r="S120" s="254">
        <v>0</v>
      </c>
      <c r="T120" s="254">
        <v>0</v>
      </c>
      <c r="U120" s="79"/>
      <c r="V120" s="254">
        <v>0</v>
      </c>
      <c r="W120" s="79"/>
      <c r="X120" s="254">
        <v>0</v>
      </c>
      <c r="Y120" s="79"/>
    </row>
    <row r="121" spans="4:43" x14ac:dyDescent="0.35">
      <c r="E121" s="32"/>
      <c r="F121" s="72" t="s">
        <v>250</v>
      </c>
      <c r="G121" s="72" t="s">
        <v>251</v>
      </c>
      <c r="J121" s="79"/>
      <c r="K121" s="79"/>
      <c r="L121" s="79"/>
      <c r="M121" s="79"/>
      <c r="N121" s="254">
        <v>0</v>
      </c>
      <c r="O121" s="254">
        <v>0</v>
      </c>
      <c r="P121" s="254">
        <v>0</v>
      </c>
      <c r="Q121" s="79"/>
      <c r="R121" s="79"/>
      <c r="S121" s="79"/>
      <c r="T121" s="79"/>
      <c r="U121" s="79"/>
      <c r="V121" s="79"/>
      <c r="W121" s="79"/>
      <c r="X121" s="79"/>
      <c r="Y121" s="79"/>
    </row>
    <row r="122" spans="4:43" x14ac:dyDescent="0.35">
      <c r="E122" s="32"/>
      <c r="F122" s="72" t="s">
        <v>252</v>
      </c>
      <c r="G122" s="72" t="s">
        <v>251</v>
      </c>
      <c r="J122" s="79"/>
      <c r="K122" s="79"/>
      <c r="L122" s="79"/>
      <c r="M122" s="79"/>
      <c r="N122" s="254">
        <v>0</v>
      </c>
      <c r="O122" s="254">
        <v>0</v>
      </c>
      <c r="P122" s="254">
        <v>0</v>
      </c>
      <c r="Q122" s="79"/>
      <c r="R122" s="79"/>
      <c r="S122" s="79"/>
      <c r="T122" s="79"/>
      <c r="U122" s="79"/>
      <c r="V122" s="79"/>
      <c r="W122" s="79"/>
      <c r="X122" s="79"/>
      <c r="Y122" s="79"/>
    </row>
    <row r="123" spans="4:43" x14ac:dyDescent="0.35">
      <c r="E123" s="32"/>
      <c r="F123" s="80" t="s">
        <v>253</v>
      </c>
      <c r="G123" s="80" t="s">
        <v>254</v>
      </c>
      <c r="H123" s="37"/>
      <c r="I123" s="37"/>
      <c r="J123" s="81"/>
      <c r="K123" s="81"/>
      <c r="L123" s="81"/>
      <c r="M123" s="81"/>
      <c r="N123" s="256">
        <v>0</v>
      </c>
      <c r="O123" s="256">
        <v>0</v>
      </c>
      <c r="P123" s="256">
        <v>0</v>
      </c>
      <c r="Q123" s="81"/>
      <c r="R123" s="81"/>
      <c r="S123" s="81"/>
      <c r="T123" s="256">
        <v>0</v>
      </c>
      <c r="U123" s="81"/>
      <c r="V123" s="256">
        <v>0</v>
      </c>
      <c r="W123" s="81"/>
      <c r="X123" s="256">
        <v>0</v>
      </c>
      <c r="Y123" s="81"/>
    </row>
    <row r="124" spans="4:43" x14ac:dyDescent="0.35">
      <c r="E124" s="261"/>
      <c r="F124" s="235"/>
      <c r="G124" s="235"/>
      <c r="H124" s="260"/>
      <c r="I124" s="260"/>
      <c r="J124" s="262"/>
      <c r="K124" s="262"/>
      <c r="L124" s="262"/>
      <c r="M124" s="262"/>
      <c r="N124" s="263"/>
      <c r="O124" s="263"/>
      <c r="P124" s="263"/>
      <c r="Q124" s="262"/>
      <c r="R124" s="262"/>
      <c r="S124" s="262"/>
      <c r="T124" s="263"/>
      <c r="U124" s="262"/>
      <c r="V124" s="263"/>
      <c r="W124" s="262"/>
      <c r="X124" s="263"/>
      <c r="Y124" s="262"/>
      <c r="Z124" s="260"/>
      <c r="AA124" s="260"/>
      <c r="AB124" s="260"/>
      <c r="AC124" s="260"/>
      <c r="AD124" s="260"/>
      <c r="AE124" s="260"/>
      <c r="AF124" s="260"/>
      <c r="AG124" s="260"/>
      <c r="AH124" s="260"/>
      <c r="AI124" s="260"/>
      <c r="AJ124" s="260"/>
      <c r="AK124" s="260"/>
      <c r="AL124" s="260"/>
      <c r="AM124" s="260"/>
      <c r="AN124" s="260"/>
      <c r="AO124" s="260"/>
      <c r="AP124" s="260"/>
    </row>
    <row r="125" spans="4:43" x14ac:dyDescent="0.35">
      <c r="E125" s="32" t="s">
        <v>957</v>
      </c>
      <c r="G125" s="13"/>
    </row>
    <row r="126" spans="4:43" x14ac:dyDescent="0.35">
      <c r="E126" s="32"/>
      <c r="F126" s="78" t="s">
        <v>247</v>
      </c>
      <c r="G126" s="78" t="s">
        <v>207</v>
      </c>
      <c r="H126" s="23"/>
      <c r="I126" s="23"/>
      <c r="J126" s="253">
        <v>2739.2268624643116</v>
      </c>
      <c r="K126" s="83"/>
      <c r="L126" s="253">
        <v>4.5522385547304216</v>
      </c>
      <c r="M126" s="83"/>
      <c r="N126" s="253">
        <v>122.56925388587857</v>
      </c>
      <c r="O126" s="253">
        <v>5.6441886745225016</v>
      </c>
      <c r="P126" s="253">
        <v>0.66105333572489777</v>
      </c>
      <c r="Q126" s="253">
        <v>0</v>
      </c>
      <c r="R126" s="83"/>
      <c r="S126" s="83"/>
      <c r="T126" s="83"/>
      <c r="U126" s="83"/>
      <c r="V126" s="83"/>
      <c r="W126" s="83"/>
      <c r="X126" s="83"/>
      <c r="Y126" s="83"/>
    </row>
    <row r="127" spans="4:43" x14ac:dyDescent="0.35">
      <c r="E127" s="32"/>
      <c r="F127" s="72" t="s">
        <v>248</v>
      </c>
      <c r="G127" s="72" t="s">
        <v>207</v>
      </c>
      <c r="J127" s="254">
        <v>10465.580404895036</v>
      </c>
      <c r="K127" s="79"/>
      <c r="L127" s="254">
        <v>24.337727229138469</v>
      </c>
      <c r="M127" s="331"/>
      <c r="N127" s="254">
        <v>927.9349906911998</v>
      </c>
      <c r="O127" s="254">
        <v>25.033464063710976</v>
      </c>
      <c r="P127" s="254">
        <v>2.7760263821069309</v>
      </c>
      <c r="Q127" s="255">
        <v>0.65693548387096823</v>
      </c>
      <c r="R127" s="79"/>
      <c r="S127" s="79"/>
      <c r="T127" s="79"/>
      <c r="U127" s="79"/>
      <c r="V127" s="79"/>
      <c r="W127" s="79"/>
      <c r="X127" s="79"/>
      <c r="Y127" s="79"/>
    </row>
    <row r="128" spans="4:43" x14ac:dyDescent="0.35">
      <c r="E128" s="32"/>
      <c r="F128" s="72" t="s">
        <v>249</v>
      </c>
      <c r="G128" s="72" t="s">
        <v>207</v>
      </c>
      <c r="J128" s="254">
        <v>7996.9438121945923</v>
      </c>
      <c r="K128" s="79"/>
      <c r="L128" s="254">
        <v>13.54348428198894</v>
      </c>
      <c r="M128" s="331"/>
      <c r="N128" s="254">
        <v>771.32540814144784</v>
      </c>
      <c r="O128" s="254">
        <v>27.488787649244045</v>
      </c>
      <c r="P128" s="254">
        <v>2.1244230506994759</v>
      </c>
      <c r="Q128" s="255">
        <v>0.37541935483870986</v>
      </c>
      <c r="R128" s="79"/>
      <c r="S128" s="79"/>
      <c r="T128" s="79"/>
      <c r="U128" s="79"/>
      <c r="V128" s="79"/>
      <c r="W128" s="79"/>
      <c r="X128" s="79"/>
      <c r="Y128" s="79"/>
    </row>
    <row r="129" spans="5:42" x14ac:dyDescent="0.35">
      <c r="E129" s="32"/>
      <c r="F129" s="72" t="s">
        <v>212</v>
      </c>
      <c r="G129" s="72" t="s">
        <v>212</v>
      </c>
      <c r="J129" s="254">
        <v>7619.4875686369887</v>
      </c>
      <c r="K129" s="79"/>
      <c r="L129" s="254">
        <v>30.663925947662449</v>
      </c>
      <c r="M129" s="331"/>
      <c r="N129" s="254">
        <v>6.2806667441171582</v>
      </c>
      <c r="O129" s="254">
        <v>0.16363636363636364</v>
      </c>
      <c r="P129" s="254">
        <v>0.61595273264401773</v>
      </c>
      <c r="Q129" s="254">
        <v>3.7419354838709675</v>
      </c>
      <c r="R129" s="79"/>
      <c r="S129" s="79"/>
      <c r="T129" s="79"/>
      <c r="U129" s="79"/>
      <c r="V129" s="79"/>
      <c r="W129" s="79"/>
      <c r="X129" s="79"/>
      <c r="Y129" s="79"/>
    </row>
    <row r="130" spans="5:42" x14ac:dyDescent="0.35">
      <c r="E130" s="32"/>
      <c r="F130" s="72" t="s">
        <v>250</v>
      </c>
      <c r="G130" s="72" t="s">
        <v>251</v>
      </c>
      <c r="J130" s="79"/>
      <c r="K130" s="79"/>
      <c r="L130" s="79"/>
      <c r="M130" s="331"/>
      <c r="N130" s="254">
        <v>668.8402588864227</v>
      </c>
      <c r="O130" s="254">
        <v>54.399435145316467</v>
      </c>
      <c r="P130" s="254">
        <v>1646.4817187231479</v>
      </c>
      <c r="Q130" s="79"/>
      <c r="R130" s="79"/>
      <c r="S130" s="79"/>
      <c r="T130" s="79"/>
      <c r="U130" s="79"/>
      <c r="V130" s="79"/>
      <c r="W130" s="79"/>
      <c r="X130" s="79"/>
      <c r="Y130" s="79"/>
    </row>
    <row r="131" spans="5:42" x14ac:dyDescent="0.35">
      <c r="E131" s="32"/>
      <c r="F131" s="72" t="s">
        <v>252</v>
      </c>
      <c r="G131" s="72" t="s">
        <v>251</v>
      </c>
      <c r="J131" s="79"/>
      <c r="K131" s="79"/>
      <c r="L131" s="79"/>
      <c r="M131" s="331"/>
      <c r="N131" s="254">
        <v>5.5359238884504505</v>
      </c>
      <c r="O131" s="254">
        <v>0</v>
      </c>
      <c r="P131" s="254">
        <v>0</v>
      </c>
      <c r="Q131" s="79"/>
      <c r="R131" s="79"/>
      <c r="S131" s="79"/>
      <c r="T131" s="79"/>
      <c r="U131" s="79"/>
      <c r="V131" s="79"/>
      <c r="W131" s="79"/>
      <c r="X131" s="79"/>
      <c r="Y131" s="79"/>
    </row>
    <row r="132" spans="5:42" x14ac:dyDescent="0.35">
      <c r="E132" s="32"/>
      <c r="F132" s="80" t="s">
        <v>253</v>
      </c>
      <c r="G132" s="80" t="s">
        <v>254</v>
      </c>
      <c r="H132" s="37"/>
      <c r="I132" s="37"/>
      <c r="J132" s="81"/>
      <c r="K132" s="81"/>
      <c r="L132" s="81"/>
      <c r="M132" s="81"/>
      <c r="N132" s="256">
        <v>108.1683492538001</v>
      </c>
      <c r="O132" s="256">
        <v>2.1735384039216713E-2</v>
      </c>
      <c r="P132" s="256">
        <v>0</v>
      </c>
      <c r="Q132" s="81"/>
      <c r="R132" s="81"/>
      <c r="S132" s="81"/>
      <c r="T132" s="81"/>
      <c r="U132" s="81"/>
      <c r="V132" s="81"/>
      <c r="W132" s="81"/>
      <c r="X132" s="81"/>
      <c r="Y132" s="81"/>
    </row>
    <row r="133" spans="5:42" x14ac:dyDescent="0.35">
      <c r="E133" s="261"/>
      <c r="F133" s="235"/>
      <c r="G133" s="235"/>
      <c r="H133" s="260"/>
      <c r="I133" s="260"/>
      <c r="J133" s="262"/>
      <c r="K133" s="262"/>
      <c r="L133" s="262"/>
      <c r="M133" s="262"/>
      <c r="N133" s="263"/>
      <c r="O133" s="263"/>
      <c r="P133" s="263"/>
      <c r="Q133" s="262"/>
      <c r="R133" s="262"/>
      <c r="S133" s="262"/>
      <c r="T133" s="263"/>
      <c r="U133" s="262"/>
      <c r="V133" s="263"/>
      <c r="W133" s="262"/>
      <c r="X133" s="263"/>
      <c r="Y133" s="262"/>
      <c r="Z133" s="260"/>
      <c r="AA133" s="260"/>
      <c r="AB133" s="260"/>
      <c r="AC133" s="260"/>
      <c r="AD133" s="260"/>
      <c r="AE133" s="260"/>
      <c r="AF133" s="260"/>
      <c r="AG133" s="260"/>
      <c r="AH133" s="260"/>
      <c r="AI133" s="260"/>
      <c r="AJ133" s="260"/>
      <c r="AK133" s="260"/>
      <c r="AL133" s="260"/>
      <c r="AM133" s="260"/>
      <c r="AN133" s="260"/>
      <c r="AO133" s="260"/>
      <c r="AP133" s="260"/>
    </row>
    <row r="134" spans="5:42" x14ac:dyDescent="0.35">
      <c r="E134" s="32" t="s">
        <v>958</v>
      </c>
      <c r="G134" s="13"/>
    </row>
    <row r="135" spans="5:42" x14ac:dyDescent="0.35">
      <c r="E135" s="32"/>
      <c r="F135" s="78" t="s">
        <v>247</v>
      </c>
      <c r="G135" s="78" t="s">
        <v>207</v>
      </c>
      <c r="H135" s="23"/>
      <c r="I135" s="23"/>
      <c r="J135" s="83"/>
      <c r="K135" s="83"/>
      <c r="L135" s="253">
        <v>21.851644733095917</v>
      </c>
      <c r="M135" s="83"/>
      <c r="N135" s="253">
        <v>125.92287708391179</v>
      </c>
      <c r="O135" s="253">
        <v>3.4619146204801168</v>
      </c>
      <c r="P135" s="253">
        <v>1.838095757152941</v>
      </c>
      <c r="Q135" s="83"/>
      <c r="R135" s="83"/>
      <c r="S135" s="83"/>
      <c r="T135" s="83"/>
      <c r="U135" s="83"/>
      <c r="V135" s="83"/>
      <c r="W135" s="83"/>
      <c r="X135" s="83"/>
      <c r="Y135" s="83"/>
    </row>
    <row r="136" spans="5:42" x14ac:dyDescent="0.35">
      <c r="E136" s="32"/>
      <c r="F136" s="72" t="s">
        <v>248</v>
      </c>
      <c r="G136" s="72" t="s">
        <v>207</v>
      </c>
      <c r="J136" s="79"/>
      <c r="K136" s="79"/>
      <c r="L136" s="341">
        <v>116.82590062629582</v>
      </c>
      <c r="M136" s="79"/>
      <c r="N136" s="254">
        <v>953.32426420302363</v>
      </c>
      <c r="O136" s="254">
        <v>15.354503586072338</v>
      </c>
      <c r="P136" s="254">
        <v>7.7188965533317635</v>
      </c>
      <c r="Q136" s="79"/>
      <c r="R136" s="79"/>
      <c r="S136" s="79"/>
      <c r="T136" s="79"/>
      <c r="U136" s="79"/>
      <c r="V136" s="79"/>
      <c r="W136" s="79"/>
      <c r="X136" s="79"/>
      <c r="Y136" s="79"/>
    </row>
    <row r="137" spans="5:42" x14ac:dyDescent="0.35">
      <c r="E137" s="32"/>
      <c r="F137" s="72" t="s">
        <v>249</v>
      </c>
      <c r="G137" s="72" t="s">
        <v>207</v>
      </c>
      <c r="J137" s="79"/>
      <c r="K137" s="79"/>
      <c r="L137" s="341">
        <v>65.01140118651287</v>
      </c>
      <c r="M137" s="79"/>
      <c r="N137" s="254">
        <v>792.42967940007884</v>
      </c>
      <c r="O137" s="254">
        <v>16.86049870936359</v>
      </c>
      <c r="P137" s="254">
        <v>5.9070770615000185</v>
      </c>
      <c r="Q137" s="79"/>
      <c r="R137" s="79"/>
      <c r="S137" s="79"/>
      <c r="T137" s="79"/>
      <c r="U137" s="79"/>
      <c r="V137" s="79"/>
      <c r="W137" s="79"/>
      <c r="X137" s="79"/>
      <c r="Y137" s="79"/>
    </row>
    <row r="138" spans="5:42" x14ac:dyDescent="0.35">
      <c r="E138" s="32"/>
      <c r="F138" s="72" t="s">
        <v>212</v>
      </c>
      <c r="G138" s="72" t="s">
        <v>212</v>
      </c>
      <c r="J138" s="79"/>
      <c r="K138" s="79"/>
      <c r="L138" s="254">
        <v>24.874260080786939</v>
      </c>
      <c r="M138" s="79"/>
      <c r="N138" s="254">
        <v>3.3804884841149057</v>
      </c>
      <c r="O138" s="254">
        <v>0.21818181818181817</v>
      </c>
      <c r="P138" s="254">
        <v>0.22008862629246675</v>
      </c>
      <c r="Q138" s="79"/>
      <c r="R138" s="79"/>
      <c r="S138" s="79"/>
      <c r="T138" s="79"/>
      <c r="U138" s="79"/>
      <c r="V138" s="79"/>
      <c r="W138" s="79"/>
      <c r="X138" s="79"/>
      <c r="Y138" s="79"/>
    </row>
    <row r="139" spans="5:42" x14ac:dyDescent="0.35">
      <c r="E139" s="32"/>
      <c r="F139" s="72" t="s">
        <v>250</v>
      </c>
      <c r="G139" s="72" t="s">
        <v>251</v>
      </c>
      <c r="J139" s="79"/>
      <c r="K139" s="79"/>
      <c r="L139" s="79"/>
      <c r="M139" s="79"/>
      <c r="N139" s="254">
        <v>687.14042909116665</v>
      </c>
      <c r="O139" s="254">
        <v>33.366389880891674</v>
      </c>
      <c r="P139" s="254">
        <v>4578.1344679188715</v>
      </c>
      <c r="Q139" s="79"/>
      <c r="R139" s="79"/>
      <c r="S139" s="79"/>
      <c r="T139" s="79"/>
      <c r="U139" s="79"/>
      <c r="V139" s="79"/>
      <c r="W139" s="79"/>
      <c r="X139" s="79"/>
      <c r="Y139" s="79"/>
    </row>
    <row r="140" spans="5:42" x14ac:dyDescent="0.35">
      <c r="E140" s="32"/>
      <c r="F140" s="72" t="s">
        <v>252</v>
      </c>
      <c r="G140" s="72" t="s">
        <v>251</v>
      </c>
      <c r="J140" s="79"/>
      <c r="K140" s="79"/>
      <c r="L140" s="79"/>
      <c r="M140" s="79"/>
      <c r="N140" s="254">
        <v>5.6873925658411082</v>
      </c>
      <c r="O140" s="254">
        <v>0</v>
      </c>
      <c r="P140" s="254">
        <v>0</v>
      </c>
      <c r="Q140" s="79"/>
      <c r="R140" s="79"/>
      <c r="S140" s="79"/>
      <c r="T140" s="79"/>
      <c r="U140" s="79"/>
      <c r="V140" s="79"/>
      <c r="W140" s="79"/>
      <c r="X140" s="79"/>
      <c r="Y140" s="79"/>
    </row>
    <row r="141" spans="5:42" x14ac:dyDescent="0.35">
      <c r="E141" s="32"/>
      <c r="F141" s="80" t="s">
        <v>253</v>
      </c>
      <c r="G141" s="80" t="s">
        <v>254</v>
      </c>
      <c r="H141" s="37"/>
      <c r="I141" s="37"/>
      <c r="J141" s="81"/>
      <c r="K141" s="81"/>
      <c r="L141" s="81"/>
      <c r="M141" s="81"/>
      <c r="N141" s="256">
        <v>111.12794861375262</v>
      </c>
      <c r="O141" s="256">
        <v>1.3331596111726428E-2</v>
      </c>
      <c r="P141" s="256">
        <v>0</v>
      </c>
      <c r="Q141" s="81"/>
      <c r="R141" s="81"/>
      <c r="S141" s="81"/>
      <c r="T141" s="81"/>
      <c r="U141" s="81"/>
      <c r="V141" s="81"/>
      <c r="W141" s="81"/>
      <c r="X141" s="81"/>
      <c r="Y141" s="81"/>
    </row>
    <row r="142" spans="5:42" x14ac:dyDescent="0.35">
      <c r="E142" s="261"/>
      <c r="F142" s="235"/>
      <c r="G142" s="235"/>
      <c r="H142" s="260"/>
      <c r="I142" s="260"/>
      <c r="J142" s="262"/>
      <c r="K142" s="262"/>
      <c r="L142" s="262"/>
      <c r="M142" s="262"/>
      <c r="N142" s="263"/>
      <c r="O142" s="263"/>
      <c r="P142" s="263"/>
      <c r="Q142" s="262"/>
      <c r="R142" s="262"/>
      <c r="S142" s="262"/>
      <c r="T142" s="263"/>
      <c r="U142" s="262"/>
      <c r="V142" s="263"/>
      <c r="W142" s="262"/>
      <c r="X142" s="263"/>
      <c r="Y142" s="262"/>
      <c r="Z142" s="260"/>
      <c r="AA142" s="260"/>
      <c r="AB142" s="260"/>
      <c r="AC142" s="260"/>
      <c r="AD142" s="260"/>
      <c r="AE142" s="260"/>
      <c r="AF142" s="260"/>
      <c r="AG142" s="260"/>
      <c r="AH142" s="260"/>
      <c r="AI142" s="260"/>
      <c r="AJ142" s="260"/>
      <c r="AK142" s="260"/>
      <c r="AL142" s="260"/>
      <c r="AM142" s="260"/>
      <c r="AN142" s="260"/>
      <c r="AO142" s="260"/>
      <c r="AP142" s="260"/>
    </row>
    <row r="143" spans="5:42" x14ac:dyDescent="0.35">
      <c r="E143" s="32" t="s">
        <v>959</v>
      </c>
      <c r="G143" s="13"/>
    </row>
    <row r="144" spans="5:42" x14ac:dyDescent="0.35">
      <c r="E144" s="32"/>
      <c r="F144" s="78" t="s">
        <v>247</v>
      </c>
      <c r="G144" s="78" t="s">
        <v>207</v>
      </c>
      <c r="H144" s="23"/>
      <c r="I144" s="23"/>
      <c r="J144" s="83"/>
      <c r="K144" s="83"/>
      <c r="L144" s="253">
        <v>30.446445340874984</v>
      </c>
      <c r="M144" s="83"/>
      <c r="N144" s="253">
        <v>95.211634685478558</v>
      </c>
      <c r="O144" s="253">
        <v>10.256381349878021</v>
      </c>
      <c r="P144" s="253">
        <v>1.5389823276936789</v>
      </c>
      <c r="Q144" s="83"/>
      <c r="R144" s="83"/>
      <c r="S144" s="83"/>
      <c r="T144" s="83"/>
      <c r="U144" s="83"/>
      <c r="V144" s="83"/>
      <c r="W144" s="83"/>
      <c r="X144" s="83"/>
      <c r="Y144" s="83"/>
    </row>
    <row r="145" spans="5:42" x14ac:dyDescent="0.35">
      <c r="E145" s="32"/>
      <c r="F145" s="72" t="s">
        <v>248</v>
      </c>
      <c r="G145" s="72" t="s">
        <v>207</v>
      </c>
      <c r="J145" s="79"/>
      <c r="K145" s="79"/>
      <c r="L145" s="254">
        <v>162.77646105191212</v>
      </c>
      <c r="M145" s="79"/>
      <c r="N145" s="254">
        <v>720.81867633643537</v>
      </c>
      <c r="O145" s="254">
        <v>45.489753931304968</v>
      </c>
      <c r="P145" s="254">
        <v>6.4628000683017772</v>
      </c>
      <c r="Q145" s="79"/>
      <c r="R145" s="79"/>
      <c r="S145" s="79"/>
      <c r="T145" s="79"/>
      <c r="U145" s="79"/>
      <c r="V145" s="79"/>
      <c r="W145" s="79"/>
      <c r="X145" s="79"/>
      <c r="Y145" s="79"/>
    </row>
    <row r="146" spans="5:42" x14ac:dyDescent="0.35">
      <c r="E146" s="32"/>
      <c r="F146" s="72" t="s">
        <v>249</v>
      </c>
      <c r="G146" s="72" t="s">
        <v>207</v>
      </c>
      <c r="J146" s="79"/>
      <c r="K146" s="79"/>
      <c r="L146" s="254">
        <v>90.582017826830409</v>
      </c>
      <c r="M146" s="79"/>
      <c r="N146" s="254">
        <v>599.16455926189042</v>
      </c>
      <c r="O146" s="254">
        <v>49.951464282032653</v>
      </c>
      <c r="P146" s="254">
        <v>4.9458180677454324</v>
      </c>
      <c r="Q146" s="79"/>
      <c r="R146" s="79"/>
      <c r="S146" s="79"/>
      <c r="T146" s="79"/>
      <c r="U146" s="79"/>
      <c r="V146" s="79"/>
      <c r="W146" s="79"/>
      <c r="X146" s="79"/>
      <c r="Y146" s="79"/>
    </row>
    <row r="147" spans="5:42" x14ac:dyDescent="0.35">
      <c r="E147" s="32"/>
      <c r="F147" s="72" t="s">
        <v>212</v>
      </c>
      <c r="G147" s="72" t="s">
        <v>212</v>
      </c>
      <c r="J147" s="79"/>
      <c r="K147" s="79"/>
      <c r="L147" s="254">
        <v>14.044950378560182</v>
      </c>
      <c r="M147" s="79"/>
      <c r="N147" s="254">
        <v>1.5549025899240143</v>
      </c>
      <c r="O147" s="254">
        <v>0.43636363636363634</v>
      </c>
      <c r="P147" s="254">
        <v>8.5672082717872966E-2</v>
      </c>
      <c r="Q147" s="79"/>
      <c r="R147" s="79"/>
      <c r="S147" s="79"/>
      <c r="T147" s="79"/>
      <c r="U147" s="79"/>
      <c r="V147" s="79"/>
      <c r="W147" s="79"/>
      <c r="X147" s="79"/>
      <c r="Y147" s="79"/>
    </row>
    <row r="148" spans="5:42" x14ac:dyDescent="0.35">
      <c r="E148" s="32"/>
      <c r="F148" s="72" t="s">
        <v>250</v>
      </c>
      <c r="G148" s="72" t="s">
        <v>251</v>
      </c>
      <c r="J148" s="79"/>
      <c r="K148" s="79"/>
      <c r="L148" s="79"/>
      <c r="M148" s="79"/>
      <c r="N148" s="254">
        <v>519.55423055220081</v>
      </c>
      <c r="O148" s="254">
        <v>98.852356688009664</v>
      </c>
      <c r="P148" s="254">
        <v>3833.1343797047916</v>
      </c>
      <c r="Q148" s="79"/>
      <c r="R148" s="79"/>
      <c r="S148" s="79"/>
      <c r="T148" s="79"/>
      <c r="U148" s="79"/>
      <c r="V148" s="79"/>
      <c r="W148" s="79"/>
      <c r="X148" s="79"/>
      <c r="Y148" s="79"/>
    </row>
    <row r="149" spans="5:42" x14ac:dyDescent="0.35">
      <c r="E149" s="32"/>
      <c r="F149" s="72" t="s">
        <v>252</v>
      </c>
      <c r="G149" s="72" t="s">
        <v>251</v>
      </c>
      <c r="J149" s="79"/>
      <c r="K149" s="79"/>
      <c r="L149" s="79"/>
      <c r="M149" s="79"/>
      <c r="N149" s="254">
        <v>4.3002983717638887</v>
      </c>
      <c r="O149" s="254">
        <v>0</v>
      </c>
      <c r="P149" s="254">
        <v>0</v>
      </c>
      <c r="Q149" s="79"/>
      <c r="R149" s="79"/>
      <c r="S149" s="79"/>
      <c r="T149" s="79"/>
      <c r="U149" s="79"/>
      <c r="V149" s="79"/>
      <c r="W149" s="79"/>
      <c r="X149" s="79"/>
      <c r="Y149" s="79"/>
    </row>
    <row r="150" spans="5:42" x14ac:dyDescent="0.35">
      <c r="E150" s="32"/>
      <c r="F150" s="80" t="s">
        <v>253</v>
      </c>
      <c r="G150" s="80" t="s">
        <v>254</v>
      </c>
      <c r="H150" s="37"/>
      <c r="I150" s="37"/>
      <c r="J150" s="81"/>
      <c r="K150" s="81"/>
      <c r="L150" s="81"/>
      <c r="M150" s="81"/>
      <c r="N150" s="256">
        <v>84.025030969619266</v>
      </c>
      <c r="O150" s="256">
        <v>3.9496622162638516E-2</v>
      </c>
      <c r="P150" s="256">
        <v>0</v>
      </c>
      <c r="Q150" s="81"/>
      <c r="R150" s="81"/>
      <c r="S150" s="81"/>
      <c r="T150" s="81"/>
      <c r="U150" s="81"/>
      <c r="V150" s="81"/>
      <c r="W150" s="81"/>
      <c r="X150" s="81"/>
      <c r="Y150" s="81"/>
    </row>
    <row r="151" spans="5:42" x14ac:dyDescent="0.35">
      <c r="E151" s="261"/>
      <c r="F151" s="235"/>
      <c r="G151" s="235"/>
      <c r="H151" s="260"/>
      <c r="I151" s="260"/>
      <c r="J151" s="262"/>
      <c r="K151" s="262"/>
      <c r="L151" s="262"/>
      <c r="M151" s="262"/>
      <c r="N151" s="263"/>
      <c r="O151" s="263"/>
      <c r="P151" s="263"/>
      <c r="Q151" s="262"/>
      <c r="R151" s="262"/>
      <c r="S151" s="262"/>
      <c r="T151" s="263"/>
      <c r="U151" s="262"/>
      <c r="V151" s="263"/>
      <c r="W151" s="262"/>
      <c r="X151" s="263"/>
      <c r="Y151" s="262"/>
      <c r="Z151" s="260"/>
      <c r="AA151" s="260"/>
      <c r="AB151" s="260"/>
      <c r="AC151" s="260"/>
      <c r="AD151" s="260"/>
      <c r="AE151" s="260"/>
      <c r="AF151" s="260"/>
      <c r="AG151" s="260"/>
      <c r="AH151" s="260"/>
      <c r="AI151" s="260"/>
      <c r="AJ151" s="260"/>
      <c r="AK151" s="260"/>
      <c r="AL151" s="260"/>
      <c r="AM151" s="260"/>
      <c r="AN151" s="260"/>
      <c r="AO151" s="260"/>
      <c r="AP151" s="260"/>
    </row>
    <row r="152" spans="5:42" x14ac:dyDescent="0.35">
      <c r="E152" s="32" t="s">
        <v>960</v>
      </c>
      <c r="G152" s="13"/>
    </row>
    <row r="153" spans="5:42" x14ac:dyDescent="0.35">
      <c r="E153" s="32"/>
      <c r="F153" s="78" t="s">
        <v>247</v>
      </c>
      <c r="G153" s="78" t="s">
        <v>207</v>
      </c>
      <c r="H153" s="23"/>
      <c r="I153" s="23"/>
      <c r="J153" s="83"/>
      <c r="K153" s="83"/>
      <c r="L153" s="253">
        <v>80.576673964797763</v>
      </c>
      <c r="M153" s="83"/>
      <c r="N153" s="253">
        <v>259.15942066355075</v>
      </c>
      <c r="O153" s="253">
        <v>80.103539739162784</v>
      </c>
      <c r="P153" s="253">
        <v>3.0883957529074912</v>
      </c>
      <c r="Q153" s="83"/>
      <c r="R153" s="83"/>
      <c r="S153" s="83"/>
      <c r="T153" s="83"/>
      <c r="U153" s="83"/>
      <c r="V153" s="83"/>
      <c r="W153" s="83"/>
      <c r="X153" s="83"/>
      <c r="Y153" s="83"/>
    </row>
    <row r="154" spans="5:42" x14ac:dyDescent="0.35">
      <c r="E154" s="32"/>
      <c r="F154" s="72" t="s">
        <v>248</v>
      </c>
      <c r="G154" s="72" t="s">
        <v>207</v>
      </c>
      <c r="J154" s="79"/>
      <c r="K154" s="79"/>
      <c r="L154" s="254">
        <v>430.78874017897385</v>
      </c>
      <c r="M154" s="79"/>
      <c r="N154" s="254">
        <v>1962.0180997828136</v>
      </c>
      <c r="O154" s="254">
        <v>355.28030671405958</v>
      </c>
      <c r="P154" s="254">
        <v>12.969404471814217</v>
      </c>
      <c r="Q154" s="79"/>
      <c r="R154" s="79"/>
      <c r="S154" s="79"/>
      <c r="T154" s="79"/>
      <c r="U154" s="79"/>
      <c r="V154" s="79"/>
      <c r="W154" s="79"/>
      <c r="X154" s="79"/>
      <c r="Y154" s="79"/>
    </row>
    <row r="155" spans="5:42" x14ac:dyDescent="0.35">
      <c r="E155" s="32"/>
      <c r="F155" s="72" t="s">
        <v>249</v>
      </c>
      <c r="G155" s="72" t="s">
        <v>207</v>
      </c>
      <c r="J155" s="79"/>
      <c r="K155" s="79"/>
      <c r="L155" s="254">
        <v>239.7257753997057</v>
      </c>
      <c r="M155" s="79"/>
      <c r="N155" s="254">
        <v>1630.8840886241608</v>
      </c>
      <c r="O155" s="254">
        <v>390.12678718237794</v>
      </c>
      <c r="P155" s="254">
        <v>9.9251584896161411</v>
      </c>
      <c r="Q155" s="79"/>
      <c r="R155" s="79"/>
      <c r="S155" s="79"/>
      <c r="T155" s="79"/>
      <c r="U155" s="79"/>
      <c r="V155" s="79"/>
      <c r="W155" s="79"/>
      <c r="X155" s="79"/>
      <c r="Y155" s="79"/>
    </row>
    <row r="156" spans="5:42" x14ac:dyDescent="0.35">
      <c r="E156" s="32"/>
      <c r="F156" s="72" t="s">
        <v>212</v>
      </c>
      <c r="G156" s="72" t="s">
        <v>212</v>
      </c>
      <c r="J156" s="79"/>
      <c r="K156" s="79"/>
      <c r="L156" s="254">
        <v>11.359997559826274</v>
      </c>
      <c r="M156" s="79"/>
      <c r="N156" s="254">
        <v>1.9090296195663947</v>
      </c>
      <c r="O156" s="254">
        <v>1.1818181818181819</v>
      </c>
      <c r="P156" s="254">
        <v>7.8286558345642535E-2</v>
      </c>
      <c r="Q156" s="79"/>
      <c r="R156" s="79"/>
      <c r="S156" s="79"/>
      <c r="T156" s="79"/>
      <c r="U156" s="79"/>
      <c r="V156" s="79"/>
      <c r="W156" s="79"/>
      <c r="X156" s="79"/>
      <c r="Y156" s="79"/>
    </row>
    <row r="157" spans="5:42" x14ac:dyDescent="0.35">
      <c r="E157" s="32"/>
      <c r="F157" s="72" t="s">
        <v>250</v>
      </c>
      <c r="G157" s="72" t="s">
        <v>251</v>
      </c>
      <c r="J157" s="79"/>
      <c r="K157" s="79"/>
      <c r="L157" s="79"/>
      <c r="M157" s="79"/>
      <c r="N157" s="254">
        <v>1414.1903333347695</v>
      </c>
      <c r="O157" s="254">
        <v>772.04848495244858</v>
      </c>
      <c r="P157" s="254">
        <v>7692.249433653189</v>
      </c>
      <c r="Q157" s="79"/>
      <c r="R157" s="79"/>
      <c r="S157" s="79"/>
      <c r="T157" s="79"/>
      <c r="U157" s="79"/>
      <c r="V157" s="79"/>
      <c r="W157" s="79"/>
      <c r="X157" s="79"/>
      <c r="Y157" s="79"/>
    </row>
    <row r="158" spans="5:42" x14ac:dyDescent="0.35">
      <c r="E158" s="32"/>
      <c r="F158" s="72" t="s">
        <v>252</v>
      </c>
      <c r="G158" s="72" t="s">
        <v>251</v>
      </c>
      <c r="J158" s="79"/>
      <c r="K158" s="79"/>
      <c r="L158" s="79"/>
      <c r="M158" s="79"/>
      <c r="N158" s="254">
        <v>11.705111863568446</v>
      </c>
      <c r="O158" s="254">
        <v>0</v>
      </c>
      <c r="P158" s="254">
        <v>0</v>
      </c>
      <c r="Q158" s="79"/>
      <c r="R158" s="79"/>
      <c r="S158" s="79"/>
      <c r="T158" s="79"/>
      <c r="U158" s="79"/>
      <c r="V158" s="79"/>
      <c r="W158" s="79"/>
      <c r="X158" s="79"/>
      <c r="Y158" s="79"/>
    </row>
    <row r="159" spans="5:42" x14ac:dyDescent="0.35">
      <c r="E159" s="32"/>
      <c r="F159" s="80" t="s">
        <v>253</v>
      </c>
      <c r="G159" s="80" t="s">
        <v>254</v>
      </c>
      <c r="H159" s="37"/>
      <c r="I159" s="37"/>
      <c r="J159" s="81"/>
      <c r="K159" s="81"/>
      <c r="L159" s="81"/>
      <c r="M159" s="81"/>
      <c r="N159" s="256">
        <v>228.7102665473366</v>
      </c>
      <c r="O159" s="256">
        <v>0.3084732455862943</v>
      </c>
      <c r="P159" s="256">
        <v>0</v>
      </c>
      <c r="Q159" s="81"/>
      <c r="R159" s="81"/>
      <c r="S159" s="81"/>
      <c r="T159" s="81"/>
      <c r="U159" s="81"/>
      <c r="V159" s="81"/>
      <c r="W159" s="81"/>
      <c r="X159" s="81"/>
      <c r="Y159" s="81"/>
    </row>
    <row r="160" spans="5:42" x14ac:dyDescent="0.35">
      <c r="E160" s="261"/>
      <c r="F160" s="235"/>
      <c r="G160" s="235"/>
      <c r="H160" s="260"/>
      <c r="I160" s="260"/>
      <c r="J160" s="262"/>
      <c r="K160" s="262"/>
      <c r="L160" s="262"/>
      <c r="M160" s="262"/>
      <c r="N160" s="263"/>
      <c r="O160" s="263"/>
      <c r="P160" s="263"/>
      <c r="Q160" s="262"/>
      <c r="R160" s="262"/>
      <c r="S160" s="262"/>
      <c r="T160" s="263"/>
      <c r="U160" s="262"/>
      <c r="V160" s="263"/>
      <c r="W160" s="262"/>
      <c r="X160" s="263"/>
      <c r="Y160" s="262"/>
      <c r="Z160" s="260"/>
      <c r="AA160" s="260"/>
      <c r="AB160" s="260"/>
      <c r="AC160" s="260"/>
      <c r="AD160" s="260"/>
      <c r="AE160" s="260"/>
      <c r="AF160" s="260"/>
      <c r="AG160" s="260"/>
      <c r="AH160" s="260"/>
      <c r="AI160" s="260"/>
      <c r="AJ160" s="260"/>
      <c r="AK160" s="260"/>
      <c r="AL160" s="260"/>
      <c r="AM160" s="260"/>
      <c r="AN160" s="260"/>
      <c r="AO160" s="260"/>
      <c r="AP160" s="260"/>
    </row>
    <row r="161" spans="3:43" x14ac:dyDescent="0.35">
      <c r="E161" s="32" t="s">
        <v>887</v>
      </c>
      <c r="G161" s="13" t="s">
        <v>212</v>
      </c>
      <c r="I161" t="s">
        <v>154</v>
      </c>
      <c r="J161" s="327">
        <v>0</v>
      </c>
      <c r="K161" s="327">
        <v>0</v>
      </c>
      <c r="L161" s="327">
        <v>0</v>
      </c>
      <c r="M161" s="327">
        <v>0</v>
      </c>
      <c r="N161" s="327">
        <v>0</v>
      </c>
      <c r="O161" s="327">
        <v>0</v>
      </c>
      <c r="P161" s="327">
        <v>0</v>
      </c>
      <c r="Q161" s="327">
        <v>0</v>
      </c>
      <c r="R161" s="327">
        <v>0</v>
      </c>
      <c r="S161" s="327">
        <v>0</v>
      </c>
      <c r="T161" s="327">
        <v>0</v>
      </c>
      <c r="U161" s="327">
        <v>0</v>
      </c>
      <c r="V161" s="327">
        <v>0</v>
      </c>
      <c r="W161" s="327">
        <v>0</v>
      </c>
      <c r="X161" s="327">
        <v>0</v>
      </c>
      <c r="Y161" s="327">
        <v>0</v>
      </c>
      <c r="AQ161" t="s">
        <v>905</v>
      </c>
    </row>
    <row r="162" spans="3:43" x14ac:dyDescent="0.35">
      <c r="G162" s="13"/>
    </row>
    <row r="163" spans="3:43" x14ac:dyDescent="0.35">
      <c r="C163" s="31" t="str">
        <f ca="1">INDEX('Version control'!$H$34:$H$57,MATCH($A$1,'Version control'!$F$34:$F$57,0),1)&amp;"-C: Non-Domestic Aggregated (Related MPAN) distribution by bands"</f>
        <v>Input 102-C: Non-Domestic Aggregated (Related MPAN) distribution by bands</v>
      </c>
      <c r="D163" s="31"/>
      <c r="E163" s="31"/>
      <c r="F163" s="31"/>
      <c r="G163" s="96"/>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row>
    <row r="164" spans="3:43" x14ac:dyDescent="0.35">
      <c r="G164" s="13"/>
    </row>
    <row r="165" spans="3:43" x14ac:dyDescent="0.35">
      <c r="D165" s="29" t="s">
        <v>1131</v>
      </c>
      <c r="G165" s="13"/>
      <c r="I165" t="s">
        <v>154</v>
      </c>
      <c r="AQ165" t="s">
        <v>1145</v>
      </c>
    </row>
    <row r="166" spans="3:43" x14ac:dyDescent="0.35">
      <c r="D166" s="29" t="s">
        <v>1132</v>
      </c>
      <c r="G166" s="13"/>
    </row>
    <row r="167" spans="3:43" x14ac:dyDescent="0.35">
      <c r="G167" s="13"/>
    </row>
    <row r="168" spans="3:43" x14ac:dyDescent="0.35">
      <c r="E168" s="32" t="s">
        <v>992</v>
      </c>
      <c r="G168" s="13"/>
      <c r="J168" s="300" t="s">
        <v>983</v>
      </c>
      <c r="K168" s="300" t="s">
        <v>988</v>
      </c>
      <c r="L168" s="300" t="s">
        <v>989</v>
      </c>
      <c r="M168" s="300" t="s">
        <v>990</v>
      </c>
      <c r="N168" s="300" t="s">
        <v>991</v>
      </c>
    </row>
    <row r="169" spans="3:43" x14ac:dyDescent="0.35">
      <c r="E169" s="32"/>
      <c r="F169" s="78" t="s">
        <v>247</v>
      </c>
      <c r="G169" s="78" t="s">
        <v>167</v>
      </c>
      <c r="H169" s="422"/>
      <c r="I169" s="23"/>
      <c r="J169" s="257">
        <v>0</v>
      </c>
      <c r="K169" s="257">
        <v>3.3124775108394622E-2</v>
      </c>
      <c r="L169" s="257">
        <v>0.15900546705316557</v>
      </c>
      <c r="M169" s="257">
        <v>0.22154631015953802</v>
      </c>
      <c r="N169" s="257">
        <v>0.58632344767890177</v>
      </c>
    </row>
    <row r="170" spans="3:43" x14ac:dyDescent="0.35">
      <c r="E170" s="32"/>
      <c r="F170" s="352" t="s">
        <v>248</v>
      </c>
      <c r="G170" s="352" t="s">
        <v>167</v>
      </c>
      <c r="H170" s="423"/>
      <c r="I170" s="311"/>
      <c r="J170" s="369">
        <v>0</v>
      </c>
      <c r="K170" s="369">
        <v>3.3124775108394622E-2</v>
      </c>
      <c r="L170" s="369">
        <v>0.15900546705316557</v>
      </c>
      <c r="M170" s="369">
        <v>0.22154631015953802</v>
      </c>
      <c r="N170" s="369">
        <v>0.58632344767890177</v>
      </c>
    </row>
    <row r="171" spans="3:43" x14ac:dyDescent="0.35">
      <c r="E171" s="32"/>
      <c r="F171" s="80" t="s">
        <v>249</v>
      </c>
      <c r="G171" s="80" t="s">
        <v>167</v>
      </c>
      <c r="H171" s="424"/>
      <c r="I171" s="37"/>
      <c r="J171" s="258">
        <v>0</v>
      </c>
      <c r="K171" s="258">
        <v>3.3124775108394622E-2</v>
      </c>
      <c r="L171" s="258">
        <v>0.15900546705316557</v>
      </c>
      <c r="M171" s="258">
        <v>0.22154631015953802</v>
      </c>
      <c r="N171" s="258">
        <v>0.58632344767890177</v>
      </c>
    </row>
    <row r="172" spans="3:43" x14ac:dyDescent="0.35">
      <c r="E172" s="261"/>
      <c r="F172" s="235"/>
      <c r="G172" s="235"/>
      <c r="H172" s="260"/>
      <c r="I172" s="260"/>
      <c r="J172" s="262"/>
      <c r="K172" s="262"/>
      <c r="L172" s="262"/>
      <c r="M172" s="262"/>
      <c r="N172" s="262"/>
    </row>
    <row r="173" spans="3:43" x14ac:dyDescent="0.35">
      <c r="E173" s="32" t="s">
        <v>993</v>
      </c>
      <c r="G173" s="13"/>
      <c r="J173" s="300" t="s">
        <v>983</v>
      </c>
      <c r="K173" s="300" t="s">
        <v>988</v>
      </c>
      <c r="L173" s="300" t="s">
        <v>989</v>
      </c>
      <c r="M173" s="300" t="s">
        <v>990</v>
      </c>
      <c r="N173" s="300" t="s">
        <v>991</v>
      </c>
    </row>
    <row r="174" spans="3:43" x14ac:dyDescent="0.35">
      <c r="E174" s="32"/>
      <c r="F174" s="78" t="s">
        <v>247</v>
      </c>
      <c r="G174" s="78" t="s">
        <v>167</v>
      </c>
      <c r="H174" s="422"/>
      <c r="I174" s="23"/>
      <c r="J174" s="257">
        <v>0</v>
      </c>
      <c r="K174" s="257">
        <v>3.3124775108394622E-2</v>
      </c>
      <c r="L174" s="257">
        <v>0.15900546705316557</v>
      </c>
      <c r="M174" s="257">
        <v>0.22154631015953802</v>
      </c>
      <c r="N174" s="257">
        <v>0.58632344767890177</v>
      </c>
    </row>
    <row r="175" spans="3:43" x14ac:dyDescent="0.35">
      <c r="E175" s="32"/>
      <c r="F175" s="352" t="s">
        <v>248</v>
      </c>
      <c r="G175" s="352" t="s">
        <v>167</v>
      </c>
      <c r="H175" s="423"/>
      <c r="I175" s="311"/>
      <c r="J175" s="369">
        <v>0</v>
      </c>
      <c r="K175" s="369">
        <v>3.3124775108394622E-2</v>
      </c>
      <c r="L175" s="369">
        <v>0.15900546705316557</v>
      </c>
      <c r="M175" s="369">
        <v>0.22154631015953802</v>
      </c>
      <c r="N175" s="369">
        <v>0.58632344767890177</v>
      </c>
    </row>
    <row r="176" spans="3:43" x14ac:dyDescent="0.35">
      <c r="E176" s="32"/>
      <c r="F176" s="80" t="s">
        <v>249</v>
      </c>
      <c r="G176" s="80" t="s">
        <v>167</v>
      </c>
      <c r="H176" s="424"/>
      <c r="I176" s="37"/>
      <c r="J176" s="258">
        <v>0</v>
      </c>
      <c r="K176" s="258">
        <v>3.3124775108394622E-2</v>
      </c>
      <c r="L176" s="258">
        <v>0.15900546705316557</v>
      </c>
      <c r="M176" s="258">
        <v>0.22154631015953802</v>
      </c>
      <c r="N176" s="258">
        <v>0.58632344767890177</v>
      </c>
    </row>
    <row r="177" spans="3:43" x14ac:dyDescent="0.35">
      <c r="E177" s="261"/>
      <c r="F177" s="235"/>
      <c r="G177" s="235"/>
      <c r="H177" s="260"/>
      <c r="I177" s="260"/>
      <c r="J177" s="262"/>
      <c r="K177" s="262"/>
      <c r="L177" s="262"/>
      <c r="M177" s="262"/>
      <c r="N177" s="262"/>
    </row>
    <row r="178" spans="3:43" x14ac:dyDescent="0.35">
      <c r="E178" s="32" t="s">
        <v>994</v>
      </c>
      <c r="G178" s="13"/>
      <c r="J178" s="300" t="s">
        <v>983</v>
      </c>
      <c r="K178" s="300" t="s">
        <v>988</v>
      </c>
      <c r="L178" s="300" t="s">
        <v>989</v>
      </c>
      <c r="M178" s="300" t="s">
        <v>990</v>
      </c>
      <c r="N178" s="300" t="s">
        <v>991</v>
      </c>
    </row>
    <row r="179" spans="3:43" x14ac:dyDescent="0.35">
      <c r="E179" s="32"/>
      <c r="F179" s="78" t="s">
        <v>247</v>
      </c>
      <c r="G179" s="78" t="s">
        <v>167</v>
      </c>
      <c r="H179" s="422"/>
      <c r="I179" s="23"/>
      <c r="J179" s="257">
        <v>0</v>
      </c>
      <c r="K179" s="257">
        <v>3.3124775108394622E-2</v>
      </c>
      <c r="L179" s="257">
        <v>0.15900546705316557</v>
      </c>
      <c r="M179" s="257">
        <v>0.22154631015953802</v>
      </c>
      <c r="N179" s="257">
        <v>0.58632344767890177</v>
      </c>
    </row>
    <row r="180" spans="3:43" x14ac:dyDescent="0.35">
      <c r="E180" s="32"/>
      <c r="F180" s="352" t="s">
        <v>248</v>
      </c>
      <c r="G180" s="352" t="s">
        <v>167</v>
      </c>
      <c r="H180" s="423"/>
      <c r="I180" s="311"/>
      <c r="J180" s="369">
        <v>0</v>
      </c>
      <c r="K180" s="369">
        <v>3.3124775108394622E-2</v>
      </c>
      <c r="L180" s="369">
        <v>0.15900546705316557</v>
      </c>
      <c r="M180" s="369">
        <v>0.22154631015953802</v>
      </c>
      <c r="N180" s="369">
        <v>0.58632344767890177</v>
      </c>
    </row>
    <row r="181" spans="3:43" x14ac:dyDescent="0.35">
      <c r="E181" s="32"/>
      <c r="F181" s="80" t="s">
        <v>249</v>
      </c>
      <c r="G181" s="80" t="s">
        <v>167</v>
      </c>
      <c r="H181" s="424"/>
      <c r="I181" s="37"/>
      <c r="J181" s="258">
        <v>0</v>
      </c>
      <c r="K181" s="258">
        <v>3.3124775108394622E-2</v>
      </c>
      <c r="L181" s="258">
        <v>0.15900546705316557</v>
      </c>
      <c r="M181" s="258">
        <v>0.22154631015953802</v>
      </c>
      <c r="N181" s="258">
        <v>0.58632344767890177</v>
      </c>
    </row>
    <row r="182" spans="3:43" x14ac:dyDescent="0.35">
      <c r="E182" s="261"/>
      <c r="F182" s="235"/>
      <c r="G182" s="235"/>
      <c r="H182" s="260"/>
      <c r="I182" s="260"/>
      <c r="J182" s="262"/>
      <c r="K182" s="262"/>
      <c r="L182" s="262"/>
      <c r="M182" s="262"/>
      <c r="N182" s="263"/>
      <c r="O182" s="263"/>
      <c r="P182" s="263"/>
      <c r="Q182" s="262"/>
      <c r="R182" s="262"/>
      <c r="S182" s="262"/>
      <c r="T182" s="263"/>
      <c r="U182" s="262"/>
      <c r="V182" s="263"/>
      <c r="W182" s="262"/>
      <c r="X182" s="263"/>
      <c r="Y182" s="262"/>
      <c r="Z182" s="260"/>
      <c r="AA182" s="260"/>
      <c r="AB182" s="260"/>
      <c r="AC182" s="260"/>
      <c r="AD182" s="260"/>
      <c r="AE182" s="260"/>
      <c r="AF182" s="260"/>
      <c r="AG182" s="260"/>
      <c r="AH182" s="260"/>
      <c r="AI182" s="260"/>
      <c r="AJ182" s="260"/>
      <c r="AK182" s="260"/>
      <c r="AL182" s="260"/>
      <c r="AM182" s="260"/>
      <c r="AN182" s="260"/>
      <c r="AO182" s="260"/>
      <c r="AP182" s="260"/>
    </row>
    <row r="183" spans="3:43" x14ac:dyDescent="0.35">
      <c r="C183" s="31" t="str">
        <f ca="1">INDEX('Version control'!$H$34:$H$57,MATCH($A$1,'Version control'!$F$34:$F$57,0),1)&amp;"-D: Service model asset values"</f>
        <v>Input 102-D: Service model asset values</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row>
    <row r="184" spans="3:43" x14ac:dyDescent="0.35">
      <c r="G184" s="13"/>
    </row>
    <row r="185" spans="3:43" x14ac:dyDescent="0.35">
      <c r="D185" s="29" t="s">
        <v>258</v>
      </c>
      <c r="H185" s="63"/>
    </row>
    <row r="186" spans="3:43" x14ac:dyDescent="0.35">
      <c r="G186" s="13"/>
      <c r="I186" t="s">
        <v>154</v>
      </c>
      <c r="AQ186" t="s">
        <v>259</v>
      </c>
    </row>
    <row r="187" spans="3:43" x14ac:dyDescent="0.35">
      <c r="D187" s="88"/>
      <c r="E187" t="s">
        <v>260</v>
      </c>
      <c r="G187" t="s">
        <v>261</v>
      </c>
      <c r="H187" s="51"/>
      <c r="J187" s="254">
        <v>340.30200083901309</v>
      </c>
      <c r="K187" s="79"/>
      <c r="L187" s="254">
        <v>603.05999999999995</v>
      </c>
      <c r="M187" s="79"/>
      <c r="N187" s="254">
        <v>2314.17</v>
      </c>
      <c r="O187" s="254">
        <v>5441.46</v>
      </c>
      <c r="P187" s="79"/>
      <c r="Q187" s="79"/>
      <c r="R187" s="254">
        <v>0</v>
      </c>
      <c r="S187" s="254">
        <v>0</v>
      </c>
      <c r="T187" s="254">
        <v>0</v>
      </c>
      <c r="U187" s="254">
        <v>0</v>
      </c>
      <c r="V187" s="254">
        <v>0</v>
      </c>
      <c r="W187" s="254">
        <v>0</v>
      </c>
      <c r="X187" s="79"/>
      <c r="Y187" s="79"/>
    </row>
    <row r="188" spans="3:43" x14ac:dyDescent="0.35">
      <c r="D188" s="88"/>
      <c r="E188" t="s">
        <v>262</v>
      </c>
      <c r="G188" t="s">
        <v>261</v>
      </c>
      <c r="H188" s="51"/>
      <c r="J188" s="79"/>
      <c r="K188" s="79"/>
      <c r="L188" s="79"/>
      <c r="M188" s="79"/>
      <c r="N188" s="79"/>
      <c r="O188" s="79"/>
      <c r="P188" s="254">
        <v>27478.07</v>
      </c>
      <c r="Q188" s="79"/>
      <c r="R188" s="79"/>
      <c r="S188" s="79"/>
      <c r="T188" s="79"/>
      <c r="U188" s="79"/>
      <c r="V188" s="79"/>
      <c r="W188" s="79"/>
      <c r="X188" s="254">
        <v>44937.57</v>
      </c>
      <c r="Y188" s="254">
        <v>44937.57</v>
      </c>
    </row>
    <row r="189" spans="3:43" x14ac:dyDescent="0.35">
      <c r="G189" s="13"/>
      <c r="J189" s="89"/>
      <c r="K189" s="89"/>
      <c r="L189" s="89"/>
      <c r="M189" s="89"/>
      <c r="N189" s="89"/>
      <c r="O189" s="89"/>
      <c r="P189" s="89"/>
      <c r="Q189" s="89"/>
      <c r="R189" s="89"/>
      <c r="S189" s="89"/>
      <c r="T189" s="89"/>
      <c r="U189" s="89"/>
      <c r="V189" s="89"/>
      <c r="W189" s="89"/>
      <c r="X189" s="89"/>
      <c r="Y189" s="89"/>
    </row>
    <row r="190" spans="3:43" x14ac:dyDescent="0.35">
      <c r="D190" s="88"/>
      <c r="E190" t="s">
        <v>263</v>
      </c>
      <c r="G190" t="s">
        <v>264</v>
      </c>
      <c r="I190" t="s">
        <v>154</v>
      </c>
      <c r="J190" s="79"/>
      <c r="K190" s="79"/>
      <c r="L190" s="79"/>
      <c r="M190" s="79"/>
      <c r="N190" s="79"/>
      <c r="O190" s="79"/>
      <c r="P190" s="79"/>
      <c r="Q190" s="254">
        <v>599.34996000000001</v>
      </c>
      <c r="R190" s="79"/>
      <c r="S190" s="79"/>
      <c r="T190" s="79"/>
      <c r="U190" s="79"/>
      <c r="V190" s="79"/>
      <c r="W190" s="79"/>
      <c r="X190" s="79"/>
      <c r="Y190" s="79"/>
      <c r="AQ190" t="s">
        <v>265</v>
      </c>
    </row>
    <row r="191" spans="3:43" x14ac:dyDescent="0.35">
      <c r="D191" s="88"/>
      <c r="J191" s="89"/>
      <c r="K191" s="89"/>
      <c r="L191" s="89"/>
      <c r="M191" s="89"/>
      <c r="N191" s="89"/>
      <c r="O191" s="89"/>
      <c r="P191" s="89"/>
      <c r="Q191" s="89"/>
      <c r="R191" s="89"/>
      <c r="S191" s="89"/>
      <c r="T191" s="89"/>
      <c r="U191" s="89"/>
      <c r="V191" s="89"/>
      <c r="W191" s="89"/>
      <c r="X191" s="89"/>
      <c r="Y191" s="89"/>
    </row>
    <row r="192" spans="3:43" x14ac:dyDescent="0.35">
      <c r="C192" s="31" t="str">
        <f ca="1">INDEX('Version control'!$H$34:$H$57,MATCH($A$1,'Version control'!$F$34:$F$57,0),1)&amp;"-E: Previous year all-the-way tariff forecast"</f>
        <v>Input 102-E: Previous year all-the-way tariff forecast</v>
      </c>
      <c r="D192" s="31"/>
      <c r="E192" s="31"/>
      <c r="F192" s="31"/>
      <c r="G192" s="31"/>
      <c r="H192" s="31"/>
      <c r="I192" s="31"/>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31"/>
      <c r="AQ192" s="31"/>
    </row>
    <row r="193" spans="3:43" x14ac:dyDescent="0.35">
      <c r="F193" s="87"/>
      <c r="G193" s="72"/>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row>
    <row r="194" spans="3:43" x14ac:dyDescent="0.35">
      <c r="D194" s="29" t="s">
        <v>266</v>
      </c>
      <c r="G194" s="13"/>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row>
    <row r="195" spans="3:43" x14ac:dyDescent="0.35">
      <c r="D195" s="91" t="s">
        <v>267</v>
      </c>
      <c r="G195" s="13"/>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row>
    <row r="196" spans="3:43" x14ac:dyDescent="0.35">
      <c r="D196" s="91"/>
      <c r="G196" s="13"/>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row>
    <row r="197" spans="3:43" ht="43.5" x14ac:dyDescent="0.35">
      <c r="E197" s="32" t="s">
        <v>268</v>
      </c>
      <c r="G197" s="13"/>
      <c r="J197" s="114" t="s">
        <v>913</v>
      </c>
      <c r="K197" s="114" t="s">
        <v>831</v>
      </c>
      <c r="L197" s="114" t="s">
        <v>914</v>
      </c>
      <c r="M197" s="114" t="s">
        <v>915</v>
      </c>
      <c r="N197" s="114" t="s">
        <v>916</v>
      </c>
      <c r="O197" s="114" t="s">
        <v>917</v>
      </c>
      <c r="P197" s="114" t="s">
        <v>918</v>
      </c>
      <c r="Q197" s="114" t="s">
        <v>832</v>
      </c>
      <c r="R197" s="114" t="s">
        <v>919</v>
      </c>
      <c r="S197" s="114" t="s">
        <v>920</v>
      </c>
      <c r="T197" s="114" t="s">
        <v>921</v>
      </c>
      <c r="U197" s="114" t="s">
        <v>922</v>
      </c>
      <c r="V197" s="114" t="s">
        <v>923</v>
      </c>
      <c r="W197" s="114" t="s">
        <v>924</v>
      </c>
      <c r="X197" s="114" t="s">
        <v>925</v>
      </c>
      <c r="Y197" s="114" t="s">
        <v>926</v>
      </c>
      <c r="Z197" s="114" t="s">
        <v>927</v>
      </c>
      <c r="AA197" s="114" t="s">
        <v>928</v>
      </c>
      <c r="AB197" s="114" t="s">
        <v>929</v>
      </c>
      <c r="AC197" s="114" t="s">
        <v>930</v>
      </c>
      <c r="AD197" s="114" t="s">
        <v>931</v>
      </c>
      <c r="AE197" s="114" t="s">
        <v>932</v>
      </c>
      <c r="AF197" s="114" t="s">
        <v>933</v>
      </c>
      <c r="AG197" s="114" t="s">
        <v>841</v>
      </c>
      <c r="AH197" s="114" t="s">
        <v>833</v>
      </c>
      <c r="AI197" s="114" t="s">
        <v>834</v>
      </c>
      <c r="AJ197" s="114" t="s">
        <v>835</v>
      </c>
      <c r="AK197" s="114" t="s">
        <v>844</v>
      </c>
      <c r="AL197" s="114" t="s">
        <v>836</v>
      </c>
      <c r="AM197" s="114" t="s">
        <v>843</v>
      </c>
      <c r="AN197" s="114" t="s">
        <v>837</v>
      </c>
      <c r="AO197" s="114" t="s">
        <v>842</v>
      </c>
    </row>
    <row r="198" spans="3:43" x14ac:dyDescent="0.35">
      <c r="D198" s="32"/>
      <c r="F198" s="23" t="s">
        <v>156</v>
      </c>
      <c r="G198" s="23" t="s">
        <v>269</v>
      </c>
      <c r="H198" s="23"/>
      <c r="I198" s="23"/>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c r="AI198" s="394"/>
      <c r="AJ198" s="394"/>
      <c r="AK198" s="394"/>
      <c r="AL198" s="394"/>
      <c r="AM198" s="394"/>
      <c r="AN198" s="394"/>
      <c r="AO198" s="394"/>
    </row>
    <row r="199" spans="3:43" x14ac:dyDescent="0.35">
      <c r="D199" s="32"/>
      <c r="F199" s="311" t="s">
        <v>157</v>
      </c>
      <c r="G199" s="311" t="s">
        <v>269</v>
      </c>
      <c r="H199" s="311"/>
      <c r="I199" s="311"/>
      <c r="J199" s="392"/>
      <c r="K199" s="392"/>
      <c r="L199" s="392"/>
      <c r="M199" s="392"/>
      <c r="N199" s="392"/>
      <c r="O199" s="392"/>
      <c r="P199" s="392"/>
      <c r="Q199" s="392"/>
      <c r="R199" s="392"/>
      <c r="S199" s="392"/>
      <c r="T199" s="392"/>
      <c r="U199" s="392"/>
      <c r="V199" s="392"/>
      <c r="W199" s="392"/>
      <c r="X199" s="392"/>
      <c r="Y199" s="392"/>
      <c r="Z199" s="392"/>
      <c r="AA199" s="392"/>
      <c r="AB199" s="392"/>
      <c r="AC199" s="392"/>
      <c r="AD199" s="392"/>
      <c r="AE199" s="392"/>
      <c r="AF199" s="392"/>
      <c r="AG199" s="392"/>
      <c r="AH199" s="392"/>
      <c r="AI199" s="392"/>
      <c r="AJ199" s="392"/>
      <c r="AK199" s="392"/>
      <c r="AL199" s="392"/>
      <c r="AM199" s="392"/>
      <c r="AN199" s="392"/>
      <c r="AO199" s="392"/>
    </row>
    <row r="200" spans="3:43" x14ac:dyDescent="0.35">
      <c r="D200" s="32"/>
      <c r="F200" s="311" t="s">
        <v>158</v>
      </c>
      <c r="G200" s="311" t="s">
        <v>269</v>
      </c>
      <c r="H200" s="311"/>
      <c r="I200" s="311"/>
      <c r="J200" s="392"/>
      <c r="K200" s="392"/>
      <c r="L200" s="392"/>
      <c r="M200" s="392"/>
      <c r="N200" s="392"/>
      <c r="O200" s="392"/>
      <c r="P200" s="392"/>
      <c r="Q200" s="392"/>
      <c r="R200" s="392"/>
      <c r="S200" s="392"/>
      <c r="T200" s="392"/>
      <c r="U200" s="392"/>
      <c r="V200" s="392"/>
      <c r="W200" s="392"/>
      <c r="X200" s="392"/>
      <c r="Y200" s="392"/>
      <c r="Z200" s="392"/>
      <c r="AA200" s="392"/>
      <c r="AB200" s="392"/>
      <c r="AC200" s="392"/>
      <c r="AD200" s="392"/>
      <c r="AE200" s="392"/>
      <c r="AF200" s="392"/>
      <c r="AG200" s="392"/>
      <c r="AH200" s="392"/>
      <c r="AI200" s="392"/>
      <c r="AJ200" s="392"/>
      <c r="AK200" s="392"/>
      <c r="AL200" s="392"/>
      <c r="AM200" s="392"/>
      <c r="AN200" s="392"/>
      <c r="AO200" s="392"/>
    </row>
    <row r="201" spans="3:43" x14ac:dyDescent="0.35">
      <c r="D201" s="32"/>
      <c r="F201" s="311" t="s">
        <v>159</v>
      </c>
      <c r="G201" s="311" t="s">
        <v>270</v>
      </c>
      <c r="H201" s="311"/>
      <c r="I201" s="311"/>
      <c r="J201" s="392"/>
      <c r="K201" s="331"/>
      <c r="L201" s="392"/>
      <c r="M201" s="392"/>
      <c r="N201" s="392"/>
      <c r="O201" s="392"/>
      <c r="P201" s="392"/>
      <c r="Q201" s="331"/>
      <c r="R201" s="392"/>
      <c r="S201" s="392"/>
      <c r="T201" s="392"/>
      <c r="U201" s="392"/>
      <c r="V201" s="392"/>
      <c r="W201" s="392"/>
      <c r="X201" s="392"/>
      <c r="Y201" s="392"/>
      <c r="Z201" s="392"/>
      <c r="AA201" s="392"/>
      <c r="AB201" s="392"/>
      <c r="AC201" s="392"/>
      <c r="AD201" s="392"/>
      <c r="AE201" s="392"/>
      <c r="AF201" s="392"/>
      <c r="AG201" s="331"/>
      <c r="AH201" s="331"/>
      <c r="AI201" s="331"/>
      <c r="AJ201" s="331"/>
      <c r="AK201" s="331"/>
      <c r="AL201" s="331"/>
      <c r="AM201" s="331"/>
      <c r="AN201" s="392"/>
      <c r="AO201" s="392"/>
    </row>
    <row r="202" spans="3:43" x14ac:dyDescent="0.35">
      <c r="D202" s="32"/>
      <c r="F202" s="311" t="s">
        <v>160</v>
      </c>
      <c r="G202" s="311" t="s">
        <v>271</v>
      </c>
      <c r="H202" s="311"/>
      <c r="I202" s="311"/>
      <c r="J202" s="331"/>
      <c r="K202" s="331"/>
      <c r="L202" s="331"/>
      <c r="M202" s="331"/>
      <c r="N202" s="331"/>
      <c r="O202" s="331"/>
      <c r="P202" s="331"/>
      <c r="Q202" s="331"/>
      <c r="R202" s="392"/>
      <c r="S202" s="392"/>
      <c r="T202" s="392"/>
      <c r="U202" s="392"/>
      <c r="V202" s="392"/>
      <c r="W202" s="392"/>
      <c r="X202" s="392"/>
      <c r="Y202" s="392"/>
      <c r="Z202" s="392"/>
      <c r="AA202" s="392"/>
      <c r="AB202" s="392"/>
      <c r="AC202" s="392"/>
      <c r="AD202" s="392"/>
      <c r="AE202" s="392"/>
      <c r="AF202" s="392"/>
      <c r="AG202" s="331"/>
      <c r="AH202" s="331"/>
      <c r="AI202" s="331"/>
      <c r="AJ202" s="331"/>
      <c r="AK202" s="331"/>
      <c r="AL202" s="331"/>
      <c r="AM202" s="331"/>
      <c r="AN202" s="331"/>
      <c r="AO202" s="331"/>
    </row>
    <row r="203" spans="3:43" x14ac:dyDescent="0.35">
      <c r="C203" s="311"/>
      <c r="D203" s="395"/>
      <c r="E203" s="311"/>
      <c r="F203" s="311" t="s">
        <v>161</v>
      </c>
      <c r="G203" s="311" t="s">
        <v>271</v>
      </c>
      <c r="H203" s="311"/>
      <c r="I203" s="311"/>
      <c r="J203" s="331"/>
      <c r="K203" s="331"/>
      <c r="L203" s="331"/>
      <c r="M203" s="331"/>
      <c r="N203" s="331"/>
      <c r="O203" s="331"/>
      <c r="P203" s="331"/>
      <c r="Q203" s="331"/>
      <c r="R203" s="392"/>
      <c r="S203" s="392"/>
      <c r="T203" s="392"/>
      <c r="U203" s="392"/>
      <c r="V203" s="392"/>
      <c r="W203" s="392"/>
      <c r="X203" s="392"/>
      <c r="Y203" s="392"/>
      <c r="Z203" s="392"/>
      <c r="AA203" s="392"/>
      <c r="AB203" s="392"/>
      <c r="AC203" s="392"/>
      <c r="AD203" s="392"/>
      <c r="AE203" s="392"/>
      <c r="AF203" s="392"/>
      <c r="AG203" s="331"/>
      <c r="AH203" s="331"/>
      <c r="AI203" s="331"/>
      <c r="AJ203" s="331"/>
      <c r="AK203" s="331"/>
      <c r="AL203" s="331"/>
      <c r="AM203" s="331"/>
      <c r="AN203" s="331"/>
      <c r="AO203" s="331"/>
    </row>
    <row r="204" spans="3:43" x14ac:dyDescent="0.35">
      <c r="C204" s="311"/>
      <c r="D204" s="395"/>
      <c r="E204" s="311"/>
      <c r="F204" s="37" t="s">
        <v>162</v>
      </c>
      <c r="G204" s="37" t="s">
        <v>272</v>
      </c>
      <c r="H204" s="37"/>
      <c r="I204" s="37"/>
      <c r="J204" s="81"/>
      <c r="K204" s="81"/>
      <c r="L204" s="81"/>
      <c r="M204" s="81"/>
      <c r="N204" s="81"/>
      <c r="O204" s="81"/>
      <c r="P204" s="81"/>
      <c r="Q204" s="81"/>
      <c r="R204" s="393"/>
      <c r="S204" s="393"/>
      <c r="T204" s="393"/>
      <c r="U204" s="393"/>
      <c r="V204" s="393"/>
      <c r="W204" s="393"/>
      <c r="X204" s="393"/>
      <c r="Y204" s="393"/>
      <c r="Z204" s="393"/>
      <c r="AA204" s="393"/>
      <c r="AB204" s="393"/>
      <c r="AC204" s="393"/>
      <c r="AD204" s="393"/>
      <c r="AE204" s="393"/>
      <c r="AF204" s="393"/>
      <c r="AG204" s="81"/>
      <c r="AH204" s="393"/>
      <c r="AI204" s="393"/>
      <c r="AJ204" s="393"/>
      <c r="AK204" s="81"/>
      <c r="AL204" s="393"/>
      <c r="AM204" s="81"/>
      <c r="AN204" s="393"/>
      <c r="AO204" s="81"/>
    </row>
    <row r="205" spans="3:43" x14ac:dyDescent="0.35">
      <c r="G205" s="13"/>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row>
    <row r="206" spans="3:43" x14ac:dyDescent="0.35">
      <c r="C206" s="31" t="str">
        <f ca="1">INDEX('Version control'!$H$34:$H$57,MATCH($A$1,'Version control'!$F$34:$F$57,0),1)&amp;"-F: Previous year net revenue (if known)"</f>
        <v>Input 102-F: Previous year net revenue (if known)</v>
      </c>
      <c r="D206" s="31"/>
      <c r="E206" s="31"/>
      <c r="F206" s="31"/>
      <c r="G206" s="31"/>
      <c r="H206" s="31"/>
      <c r="I206" s="31"/>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31"/>
      <c r="AQ206" s="31"/>
    </row>
    <row r="207" spans="3:43" x14ac:dyDescent="0.35">
      <c r="F207" s="87"/>
      <c r="G207" s="72"/>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row>
    <row r="208" spans="3:43" x14ac:dyDescent="0.35">
      <c r="D208" s="29" t="s">
        <v>273</v>
      </c>
      <c r="G208" s="13"/>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row>
    <row r="209" spans="2:44" x14ac:dyDescent="0.35">
      <c r="D209" s="91" t="s">
        <v>274</v>
      </c>
      <c r="G209" s="13"/>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row>
    <row r="210" spans="2:44" x14ac:dyDescent="0.35">
      <c r="D210" s="29" t="s">
        <v>275</v>
      </c>
      <c r="G210" s="13"/>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row>
    <row r="211" spans="2:44" x14ac:dyDescent="0.35">
      <c r="G211" s="1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row>
    <row r="212" spans="2:44" ht="43.5" x14ac:dyDescent="0.35">
      <c r="F212" s="311"/>
      <c r="G212" s="311"/>
      <c r="H212" s="311"/>
      <c r="I212" s="311"/>
      <c r="J212" s="399" t="s">
        <v>913</v>
      </c>
      <c r="K212" s="399" t="s">
        <v>831</v>
      </c>
      <c r="L212" s="399" t="s">
        <v>914</v>
      </c>
      <c r="M212" s="399" t="s">
        <v>915</v>
      </c>
      <c r="N212" s="399" t="s">
        <v>916</v>
      </c>
      <c r="O212" s="399" t="s">
        <v>917</v>
      </c>
      <c r="P212" s="399" t="s">
        <v>918</v>
      </c>
      <c r="Q212" s="399" t="s">
        <v>832</v>
      </c>
      <c r="R212" s="399" t="s">
        <v>919</v>
      </c>
      <c r="S212" s="399" t="s">
        <v>920</v>
      </c>
      <c r="T212" s="399" t="s">
        <v>921</v>
      </c>
      <c r="U212" s="399" t="s">
        <v>922</v>
      </c>
      <c r="V212" s="399" t="s">
        <v>923</v>
      </c>
      <c r="W212" s="399" t="s">
        <v>924</v>
      </c>
      <c r="X212" s="399" t="s">
        <v>925</v>
      </c>
      <c r="Y212" s="399" t="s">
        <v>926</v>
      </c>
      <c r="Z212" s="399" t="s">
        <v>927</v>
      </c>
      <c r="AA212" s="399" t="s">
        <v>928</v>
      </c>
      <c r="AB212" s="399" t="s">
        <v>929</v>
      </c>
      <c r="AC212" s="399" t="s">
        <v>930</v>
      </c>
      <c r="AD212" s="399" t="s">
        <v>931</v>
      </c>
      <c r="AE212" s="399" t="s">
        <v>932</v>
      </c>
      <c r="AF212" s="399" t="s">
        <v>933</v>
      </c>
      <c r="AG212" s="399" t="s">
        <v>841</v>
      </c>
      <c r="AH212" s="399" t="s">
        <v>833</v>
      </c>
      <c r="AI212" s="399" t="s">
        <v>834</v>
      </c>
      <c r="AJ212" s="399" t="s">
        <v>835</v>
      </c>
      <c r="AK212" s="399" t="s">
        <v>844</v>
      </c>
      <c r="AL212" s="399" t="s">
        <v>836</v>
      </c>
      <c r="AM212" s="399" t="s">
        <v>843</v>
      </c>
      <c r="AN212" s="399" t="s">
        <v>837</v>
      </c>
      <c r="AO212" s="399" t="s">
        <v>842</v>
      </c>
      <c r="AP212" s="311"/>
      <c r="AQ212" s="311"/>
      <c r="AR212" s="311"/>
    </row>
    <row r="213" spans="2:44" x14ac:dyDescent="0.35">
      <c r="E213" s="28" t="s">
        <v>276</v>
      </c>
      <c r="F213" s="311"/>
      <c r="G213" s="311" t="s">
        <v>277</v>
      </c>
      <c r="H213" s="311"/>
      <c r="I213" s="311"/>
      <c r="J213" s="341"/>
      <c r="K213" s="341"/>
      <c r="L213" s="341"/>
      <c r="M213" s="341"/>
      <c r="N213" s="341"/>
      <c r="O213" s="341"/>
      <c r="P213" s="341"/>
      <c r="Q213" s="341"/>
      <c r="R213" s="341"/>
      <c r="S213" s="341"/>
      <c r="T213" s="341"/>
      <c r="U213" s="341"/>
      <c r="V213" s="341"/>
      <c r="W213" s="341"/>
      <c r="X213" s="341"/>
      <c r="Y213" s="341"/>
      <c r="Z213" s="341"/>
      <c r="AA213" s="341"/>
      <c r="AB213" s="341"/>
      <c r="AC213" s="341"/>
      <c r="AD213" s="341"/>
      <c r="AE213" s="341"/>
      <c r="AF213" s="341"/>
      <c r="AG213" s="341"/>
      <c r="AH213" s="341"/>
      <c r="AI213" s="341"/>
      <c r="AJ213" s="341"/>
      <c r="AK213" s="341"/>
      <c r="AL213" s="341"/>
      <c r="AM213" s="341"/>
      <c r="AN213" s="341"/>
      <c r="AO213" s="341"/>
      <c r="AP213" s="311"/>
      <c r="AQ213" s="311"/>
      <c r="AR213" s="311"/>
    </row>
    <row r="214" spans="2:44" x14ac:dyDescent="0.35">
      <c r="G214" s="13"/>
    </row>
    <row r="215" spans="2:44" x14ac:dyDescent="0.35">
      <c r="B215" s="30" t="s">
        <v>231</v>
      </c>
      <c r="C215" s="30"/>
      <c r="D215" s="30"/>
      <c r="E215" s="30"/>
      <c r="F215" s="30"/>
      <c r="G215" s="9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2:44" x14ac:dyDescent="0.35">
      <c r="G216" s="13"/>
    </row>
    <row r="217" spans="2:44" x14ac:dyDescent="0.35">
      <c r="E217" s="32" t="s">
        <v>1118</v>
      </c>
      <c r="G217" s="13"/>
    </row>
    <row r="218" spans="2:44" x14ac:dyDescent="0.35">
      <c r="E218" s="32"/>
      <c r="F218" s="78" t="s">
        <v>247</v>
      </c>
      <c r="G218" s="78" t="s">
        <v>209</v>
      </c>
      <c r="H218" s="422" t="b">
        <f>SUM(J169:N169)=1</f>
        <v>1</v>
      </c>
    </row>
    <row r="219" spans="2:44" x14ac:dyDescent="0.35">
      <c r="E219" s="32"/>
      <c r="F219" s="352" t="s">
        <v>248</v>
      </c>
      <c r="G219" s="352" t="s">
        <v>209</v>
      </c>
      <c r="H219" s="423" t="b">
        <f t="shared" ref="H219:H220" si="0">SUM(J170:N170)=1</f>
        <v>1</v>
      </c>
    </row>
    <row r="220" spans="2:44" x14ac:dyDescent="0.35">
      <c r="E220" s="32"/>
      <c r="F220" s="80" t="s">
        <v>249</v>
      </c>
      <c r="G220" s="80" t="s">
        <v>209</v>
      </c>
      <c r="H220" s="424" t="b">
        <f t="shared" si="0"/>
        <v>1</v>
      </c>
    </row>
    <row r="221" spans="2:44" x14ac:dyDescent="0.35">
      <c r="E221" s="261"/>
      <c r="F221" s="235"/>
      <c r="G221" s="235"/>
      <c r="H221" s="260"/>
    </row>
    <row r="222" spans="2:44" x14ac:dyDescent="0.35">
      <c r="E222" s="32" t="s">
        <v>1119</v>
      </c>
      <c r="G222" s="13"/>
    </row>
    <row r="223" spans="2:44" x14ac:dyDescent="0.35">
      <c r="E223" s="32"/>
      <c r="F223" s="78" t="s">
        <v>247</v>
      </c>
      <c r="G223" s="78" t="s">
        <v>209</v>
      </c>
      <c r="H223" s="422" t="b">
        <f>SUM(J174:N174)=1</f>
        <v>1</v>
      </c>
    </row>
    <row r="224" spans="2:44" x14ac:dyDescent="0.35">
      <c r="E224" s="32"/>
      <c r="F224" s="352" t="s">
        <v>248</v>
      </c>
      <c r="G224" s="352" t="s">
        <v>209</v>
      </c>
      <c r="H224" s="423" t="b">
        <f t="shared" ref="H224:H225" si="1">SUM(J175:N175)=1</f>
        <v>1</v>
      </c>
    </row>
    <row r="225" spans="2:43" x14ac:dyDescent="0.35">
      <c r="E225" s="32"/>
      <c r="F225" s="80" t="s">
        <v>249</v>
      </c>
      <c r="G225" s="80" t="s">
        <v>209</v>
      </c>
      <c r="H225" s="424" t="b">
        <f t="shared" si="1"/>
        <v>1</v>
      </c>
    </row>
    <row r="226" spans="2:43" x14ac:dyDescent="0.35">
      <c r="E226" s="261"/>
      <c r="F226" s="235"/>
      <c r="G226" s="235"/>
      <c r="H226" s="260"/>
    </row>
    <row r="227" spans="2:43" x14ac:dyDescent="0.35">
      <c r="E227" s="32" t="s">
        <v>1120</v>
      </c>
      <c r="G227" s="13"/>
    </row>
    <row r="228" spans="2:43" x14ac:dyDescent="0.35">
      <c r="E228" s="32"/>
      <c r="F228" s="78" t="s">
        <v>247</v>
      </c>
      <c r="G228" s="78" t="s">
        <v>209</v>
      </c>
      <c r="H228" s="422" t="b">
        <f>SUM(J179:N179)=1</f>
        <v>1</v>
      </c>
    </row>
    <row r="229" spans="2:43" x14ac:dyDescent="0.35">
      <c r="E229" s="32"/>
      <c r="F229" s="352" t="s">
        <v>248</v>
      </c>
      <c r="G229" s="352" t="s">
        <v>209</v>
      </c>
      <c r="H229" s="423" t="b">
        <f t="shared" ref="H229:H230" si="2">SUM(J180:N180)=1</f>
        <v>1</v>
      </c>
    </row>
    <row r="230" spans="2:43" x14ac:dyDescent="0.35">
      <c r="E230" s="32"/>
      <c r="F230" s="80" t="s">
        <v>249</v>
      </c>
      <c r="G230" s="80" t="s">
        <v>209</v>
      </c>
      <c r="H230" s="424" t="b">
        <f t="shared" si="2"/>
        <v>1</v>
      </c>
    </row>
    <row r="231" spans="2:43" x14ac:dyDescent="0.35">
      <c r="G231" s="13"/>
    </row>
    <row r="232" spans="2:43" x14ac:dyDescent="0.35">
      <c r="E232" t="s">
        <v>1121</v>
      </c>
      <c r="G232" s="6" t="s">
        <v>55</v>
      </c>
      <c r="H232" s="24">
        <f>COUNTIF(H218:H230,FALSE)</f>
        <v>0</v>
      </c>
    </row>
    <row r="233" spans="2:43" x14ac:dyDescent="0.35">
      <c r="G233" s="13"/>
    </row>
    <row r="234" spans="2:43" x14ac:dyDescent="0.35">
      <c r="E234" t="s">
        <v>232</v>
      </c>
      <c r="G234" s="6" t="s">
        <v>55</v>
      </c>
      <c r="H234" s="24">
        <f t="array" ref="H234">SUM(IF(ISERROR(H13:Y214), 1))</f>
        <v>0</v>
      </c>
    </row>
    <row r="235" spans="2:43" x14ac:dyDescent="0.35">
      <c r="G235" s="13"/>
    </row>
    <row r="236" spans="2:43" x14ac:dyDescent="0.35">
      <c r="E236" t="s">
        <v>239</v>
      </c>
      <c r="G236" s="6" t="s">
        <v>55</v>
      </c>
      <c r="H236" s="103">
        <f xml:space="preserve"> H232 + H234</f>
        <v>0</v>
      </c>
    </row>
    <row r="238" spans="2:43" x14ac:dyDescent="0.35">
      <c r="B238" s="30" t="s">
        <v>106</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40" spans="2:43" x14ac:dyDescent="0.35">
      <c r="L240" s="89"/>
    </row>
    <row r="241" spans="12:13" x14ac:dyDescent="0.35">
      <c r="L241" s="89"/>
    </row>
    <row r="242" spans="12:13" x14ac:dyDescent="0.35">
      <c r="L242" s="89"/>
    </row>
    <row r="243" spans="12:13" x14ac:dyDescent="0.35">
      <c r="L243" s="89"/>
    </row>
    <row r="245" spans="12:13" x14ac:dyDescent="0.35">
      <c r="L245" s="89"/>
      <c r="M245" s="365"/>
    </row>
    <row r="246" spans="12:13" x14ac:dyDescent="0.35">
      <c r="L246" s="89"/>
      <c r="M246" s="365"/>
    </row>
    <row r="247" spans="12:13" x14ac:dyDescent="0.35">
      <c r="L247" s="89"/>
      <c r="M247" s="365"/>
    </row>
    <row r="248" spans="12:13" x14ac:dyDescent="0.35">
      <c r="L248" s="89"/>
      <c r="M248" s="365"/>
    </row>
    <row r="250" spans="12:13" x14ac:dyDescent="0.35">
      <c r="L250" s="89"/>
    </row>
    <row r="251" spans="12:13" x14ac:dyDescent="0.35">
      <c r="L251" s="89"/>
    </row>
    <row r="252" spans="12:13" x14ac:dyDescent="0.35">
      <c r="L252" s="89"/>
    </row>
    <row r="253" spans="12:13" x14ac:dyDescent="0.35">
      <c r="L253" s="89"/>
    </row>
    <row r="255" spans="12:13" x14ac:dyDescent="0.35">
      <c r="L255" s="89"/>
      <c r="M255" s="365"/>
    </row>
    <row r="256" spans="12:13" x14ac:dyDescent="0.35">
      <c r="L256" s="89"/>
      <c r="M256" s="365"/>
    </row>
    <row r="257" spans="12:13" x14ac:dyDescent="0.35">
      <c r="L257" s="89"/>
      <c r="M257" s="365"/>
    </row>
    <row r="258" spans="12:13" x14ac:dyDescent="0.35">
      <c r="L258" s="89"/>
      <c r="M258" s="36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69"/>
  <sheetViews>
    <sheetView showGridLines="0" zoomScale="55" zoomScaleNormal="55" workbookViewId="0">
      <pane xSplit="9" ySplit="5" topLeftCell="J6" activePane="bottomRight" state="frozen"/>
      <selection pane="topRight"/>
      <selection pane="bottomLeft"/>
      <selection pane="bottomRight" activeCell="J9" sqref="J9"/>
    </sheetView>
  </sheetViews>
  <sheetFormatPr defaultColWidth="0" defaultRowHeight="14.5" x14ac:dyDescent="0.35"/>
  <cols>
    <col min="1" max="5" width="2.54296875" customWidth="1"/>
    <col min="6" max="6" width="59.54296875" customWidth="1"/>
    <col min="7" max="8" width="20.54296875" customWidth="1"/>
    <col min="9" max="9" width="2.453125" customWidth="1"/>
    <col min="10" max="19" width="17" customWidth="1"/>
    <col min="20" max="20" width="2.453125" customWidth="1"/>
    <col min="21" max="21" width="50.54296875" customWidth="1"/>
    <col min="22" max="22" width="2.453125" customWidth="1"/>
    <col min="23" max="27" width="20.54296875" hidden="1" customWidth="1"/>
    <col min="28" max="28" width="2.54296875" hidden="1" customWidth="1"/>
    <col min="29" max="256" width="20.54296875" hidden="1" customWidth="1"/>
    <col min="257" max="16384" width="9.26953125" hidden="1"/>
  </cols>
  <sheetData>
    <row r="1" spans="1:27" s="1" customFormat="1" x14ac:dyDescent="0.35">
      <c r="A1" s="1" t="str">
        <f ca="1">MID(CELL("filename",A1),FIND("]",CELL("filename",A1))+1,255)</f>
        <v>Inputs by network level</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H56 &amp; IF(H56 = 1, " issue", " issues") &amp;" identified in checks on this sheet"</f>
        <v>0 issues identified in checks on this sheet</v>
      </c>
      <c r="B4" s="13"/>
      <c r="C4" s="13"/>
      <c r="D4" s="13"/>
      <c r="E4" s="13"/>
      <c r="F4" s="13"/>
      <c r="G4" s="13"/>
      <c r="H4" s="14"/>
      <c r="I4" s="14"/>
      <c r="J4" s="13"/>
    </row>
    <row r="5" spans="1:27" x14ac:dyDescent="0.35">
      <c r="B5" s="59" t="s">
        <v>142</v>
      </c>
      <c r="C5" s="60"/>
      <c r="D5" s="60"/>
      <c r="E5" s="60"/>
      <c r="F5" s="60"/>
      <c r="G5" s="1" t="s">
        <v>143</v>
      </c>
      <c r="H5" s="93" t="s">
        <v>144</v>
      </c>
      <c r="I5" s="14"/>
      <c r="J5" s="93" t="s">
        <v>189</v>
      </c>
      <c r="K5" s="93" t="s">
        <v>191</v>
      </c>
      <c r="L5" s="93" t="s">
        <v>192</v>
      </c>
      <c r="M5" s="93" t="s">
        <v>193</v>
      </c>
      <c r="N5" s="93" t="s">
        <v>194</v>
      </c>
      <c r="O5" s="93" t="s">
        <v>195</v>
      </c>
      <c r="P5" s="93" t="s">
        <v>196</v>
      </c>
      <c r="Q5" s="93" t="s">
        <v>197</v>
      </c>
      <c r="R5" s="93" t="s">
        <v>198</v>
      </c>
      <c r="S5" s="93" t="s">
        <v>199</v>
      </c>
      <c r="U5" s="61" t="s">
        <v>145</v>
      </c>
    </row>
    <row r="7" spans="1:27" x14ac:dyDescent="0.35">
      <c r="B7" s="30" t="s">
        <v>10</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35">
      <c r="C9" s="29" t="s">
        <v>278</v>
      </c>
    </row>
    <row r="11" spans="1:27" x14ac:dyDescent="0.35">
      <c r="B11" s="30" t="s">
        <v>58</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35">
      <c r="C13" s="31" t="str">
        <f ca="1">INDEX('Version control'!$H$34:$H$57,MATCH($A$1,'Version control'!$F$34:$F$57,0),1)&amp;"-A: Network and load inputs"</f>
        <v>Input 103-A: Network and load inputs</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35">
      <c r="E15" s="28" t="s">
        <v>279</v>
      </c>
      <c r="G15" s="28" t="s">
        <v>167</v>
      </c>
      <c r="I15" t="s">
        <v>154</v>
      </c>
      <c r="J15" s="94"/>
      <c r="K15" s="259">
        <v>6.8000000000000005E-2</v>
      </c>
      <c r="L15" s="259">
        <v>0</v>
      </c>
      <c r="M15" s="94"/>
      <c r="N15" s="259">
        <v>7.4999999999999997E-2</v>
      </c>
      <c r="O15" s="94"/>
      <c r="P15" s="77"/>
      <c r="Q15" s="259">
        <v>0.61099999999999999</v>
      </c>
      <c r="R15" s="66"/>
      <c r="S15" s="66"/>
      <c r="U15" s="63" t="s">
        <v>280</v>
      </c>
    </row>
    <row r="17" spans="3:27" x14ac:dyDescent="0.35">
      <c r="E17" s="28" t="s">
        <v>281</v>
      </c>
      <c r="G17" s="28" t="s">
        <v>167</v>
      </c>
      <c r="H17" s="28"/>
      <c r="I17" s="95"/>
      <c r="J17" s="94"/>
      <c r="K17" s="66"/>
      <c r="L17" s="66"/>
      <c r="M17" s="66"/>
      <c r="N17" s="66"/>
      <c r="O17" s="66"/>
      <c r="P17" s="259">
        <v>0</v>
      </c>
      <c r="Q17" s="66"/>
      <c r="R17" s="66"/>
      <c r="S17" s="66"/>
    </row>
    <row r="19" spans="3:27" x14ac:dyDescent="0.35">
      <c r="E19" s="28" t="s">
        <v>282</v>
      </c>
      <c r="G19" s="28" t="s">
        <v>283</v>
      </c>
      <c r="I19" t="s">
        <v>154</v>
      </c>
      <c r="J19" s="79"/>
      <c r="K19" s="254">
        <v>1</v>
      </c>
      <c r="L19" s="254">
        <v>1</v>
      </c>
      <c r="M19" s="254">
        <v>1</v>
      </c>
      <c r="N19" s="254">
        <v>1.0149999999999999</v>
      </c>
      <c r="O19" s="254">
        <v>1.028</v>
      </c>
      <c r="P19" s="79"/>
      <c r="Q19" s="254">
        <v>1.0369999999999999</v>
      </c>
      <c r="R19" s="254">
        <v>1.0609999999999999</v>
      </c>
      <c r="S19" s="254">
        <v>1.099</v>
      </c>
      <c r="U19" s="63" t="s">
        <v>284</v>
      </c>
    </row>
    <row r="20" spans="3:27" x14ac:dyDescent="0.35">
      <c r="J20" s="89"/>
      <c r="K20" s="89"/>
      <c r="L20" s="89"/>
      <c r="M20" s="89"/>
      <c r="N20" s="89"/>
      <c r="O20" s="89"/>
      <c r="P20" s="89"/>
      <c r="Q20" s="89"/>
      <c r="R20" s="89"/>
      <c r="S20" s="89"/>
    </row>
    <row r="21" spans="3:27" x14ac:dyDescent="0.35">
      <c r="E21" s="28" t="s">
        <v>285</v>
      </c>
      <c r="G21" s="28" t="s">
        <v>286</v>
      </c>
      <c r="I21" t="s">
        <v>154</v>
      </c>
      <c r="J21" s="79"/>
      <c r="K21" s="254">
        <v>0.18</v>
      </c>
      <c r="L21" s="254"/>
      <c r="M21" s="254"/>
      <c r="N21" s="254">
        <v>0.18</v>
      </c>
      <c r="O21" s="254">
        <v>0.18</v>
      </c>
      <c r="P21" s="254"/>
      <c r="Q21" s="254">
        <v>0.18</v>
      </c>
      <c r="R21" s="254">
        <v>0.18</v>
      </c>
      <c r="S21" s="254">
        <v>0.18</v>
      </c>
      <c r="U21" s="63" t="s">
        <v>287</v>
      </c>
    </row>
    <row r="23" spans="3:27" x14ac:dyDescent="0.35">
      <c r="C23" s="31" t="str">
        <f ca="1">INDEX('Version control'!$H$34:$H$57,MATCH($A$1,'Version control'!$F$34:$F$57,0),1)&amp;"-B: Customer contributions under current connection charging policy"</f>
        <v>Input 103-B: Customer contributions under current connection charging policy</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35">
      <c r="C24" s="32"/>
      <c r="I24" t="s">
        <v>154</v>
      </c>
      <c r="U24" t="s">
        <v>288</v>
      </c>
    </row>
    <row r="25" spans="3:27" x14ac:dyDescent="0.35">
      <c r="C25" s="32"/>
      <c r="E25" s="32" t="s">
        <v>289</v>
      </c>
    </row>
    <row r="26" spans="3:27" x14ac:dyDescent="0.35">
      <c r="F26" s="64" t="s">
        <v>186</v>
      </c>
      <c r="G26" s="64" t="s">
        <v>167</v>
      </c>
      <c r="H26" s="23"/>
      <c r="I26" s="23"/>
      <c r="J26" s="65"/>
      <c r="K26" s="65"/>
      <c r="L26" s="257">
        <v>0</v>
      </c>
      <c r="M26" s="257">
        <v>0</v>
      </c>
      <c r="N26" s="257">
        <v>6.4338235294117696E-3</v>
      </c>
      <c r="O26" s="257">
        <v>4.1617122473246101E-3</v>
      </c>
      <c r="P26" s="257">
        <v>0</v>
      </c>
      <c r="Q26" s="257">
        <v>0.42522380337704002</v>
      </c>
      <c r="R26" s="257">
        <v>0.78260869565217395</v>
      </c>
      <c r="S26" s="257">
        <v>0.966742252456538</v>
      </c>
    </row>
    <row r="27" spans="3:27" x14ac:dyDescent="0.35">
      <c r="F27" s="28" t="s">
        <v>185</v>
      </c>
      <c r="G27" s="28" t="s">
        <v>167</v>
      </c>
      <c r="J27" s="66"/>
      <c r="K27" s="66"/>
      <c r="L27" s="252">
        <v>0</v>
      </c>
      <c r="M27" s="252">
        <v>0</v>
      </c>
      <c r="N27" s="252">
        <v>6.4338235294117696E-3</v>
      </c>
      <c r="O27" s="252">
        <v>4.1617122473246101E-3</v>
      </c>
      <c r="P27" s="252">
        <v>0</v>
      </c>
      <c r="Q27" s="252">
        <v>0.42522380337704002</v>
      </c>
      <c r="R27" s="252">
        <v>0.78260869565217395</v>
      </c>
      <c r="S27" s="70"/>
    </row>
    <row r="28" spans="3:27" x14ac:dyDescent="0.35">
      <c r="F28" s="28" t="s">
        <v>184</v>
      </c>
      <c r="G28" s="28" t="s">
        <v>167</v>
      </c>
      <c r="J28" s="66"/>
      <c r="K28" s="66"/>
      <c r="L28" s="252">
        <v>0</v>
      </c>
      <c r="M28" s="252">
        <v>0</v>
      </c>
      <c r="N28" s="252">
        <v>1.16978609625668E-2</v>
      </c>
      <c r="O28" s="252">
        <v>7.56674954059021E-3</v>
      </c>
      <c r="P28" s="252">
        <v>0</v>
      </c>
      <c r="Q28" s="252">
        <v>0.38896884219615702</v>
      </c>
      <c r="R28" s="70"/>
      <c r="S28" s="70"/>
    </row>
    <row r="29" spans="3:27" x14ac:dyDescent="0.35">
      <c r="F29" s="67" t="s">
        <v>183</v>
      </c>
      <c r="G29" s="67" t="s">
        <v>167</v>
      </c>
      <c r="H29" s="37"/>
      <c r="I29" s="37"/>
      <c r="J29" s="68"/>
      <c r="K29" s="68"/>
      <c r="L29" s="258">
        <v>0</v>
      </c>
      <c r="M29" s="258">
        <v>0</v>
      </c>
      <c r="N29" s="258">
        <v>1.16978609625668E-2</v>
      </c>
      <c r="O29" s="258">
        <v>7.56674954059021E-3</v>
      </c>
      <c r="P29" s="71"/>
      <c r="Q29" s="71"/>
      <c r="R29" s="71"/>
      <c r="S29" s="71"/>
    </row>
    <row r="31" spans="3:27" x14ac:dyDescent="0.35">
      <c r="C31" s="31" t="str">
        <f ca="1">INDEX('Version control'!$H$34:$H$57,MATCH($A$1,'Version control'!$F$34:$F$57,0),1)&amp;"-C: DRM asset costs"</f>
        <v>Input 103-C: DRM asset costs</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35">
      <c r="E33" s="28" t="s">
        <v>290</v>
      </c>
      <c r="G33" s="28" t="s">
        <v>277</v>
      </c>
      <c r="I33" t="s">
        <v>154</v>
      </c>
      <c r="J33" s="79"/>
      <c r="K33" s="79"/>
      <c r="L33" s="254"/>
      <c r="M33" s="254"/>
      <c r="N33" s="254">
        <v>86970450.155083969</v>
      </c>
      <c r="O33" s="254">
        <v>78690541.971241668</v>
      </c>
      <c r="P33" s="254"/>
      <c r="Q33" s="254">
        <v>325169331.90216249</v>
      </c>
      <c r="R33" s="254">
        <v>78740263.012503773</v>
      </c>
      <c r="S33" s="254">
        <v>186914343.686434</v>
      </c>
    </row>
    <row r="35" spans="2:27" x14ac:dyDescent="0.35">
      <c r="C35" s="31" t="str">
        <f ca="1">INDEX('Version control'!$H$34:$H$57,MATCH($A$1,'Version control'!$F$34:$F$57,0),1)&amp;"-D: Peaking probabilities by network level"</f>
        <v>Input 103-D: Peaking probabilities by network level</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35">
      <c r="D37" s="29" t="s">
        <v>291</v>
      </c>
    </row>
    <row r="38" spans="2:27" x14ac:dyDescent="0.35">
      <c r="C38" s="29"/>
    </row>
    <row r="39" spans="2:27" x14ac:dyDescent="0.35">
      <c r="D39" s="32"/>
      <c r="E39" s="32" t="s">
        <v>292</v>
      </c>
      <c r="I39" t="s">
        <v>154</v>
      </c>
      <c r="U39" t="s">
        <v>293</v>
      </c>
    </row>
    <row r="40" spans="2:27" x14ac:dyDescent="0.35">
      <c r="F40" s="23" t="s">
        <v>294</v>
      </c>
      <c r="G40" s="78" t="s">
        <v>167</v>
      </c>
      <c r="H40" s="23"/>
      <c r="I40" s="23"/>
      <c r="J40" s="65"/>
      <c r="K40" s="257">
        <v>0.46629999999999999</v>
      </c>
      <c r="L40" s="257"/>
      <c r="M40" s="257"/>
      <c r="N40" s="257">
        <v>0.44</v>
      </c>
      <c r="O40" s="257">
        <v>0.44</v>
      </c>
      <c r="P40" s="257"/>
      <c r="Q40" s="257">
        <v>0.39</v>
      </c>
      <c r="R40" s="257">
        <v>0.39</v>
      </c>
      <c r="S40" s="257">
        <v>0.39</v>
      </c>
    </row>
    <row r="41" spans="2:27" x14ac:dyDescent="0.35">
      <c r="F41" t="s">
        <v>295</v>
      </c>
      <c r="G41" s="72" t="s">
        <v>167</v>
      </c>
      <c r="J41" s="66"/>
      <c r="K41" s="252">
        <v>0.35620000000000002</v>
      </c>
      <c r="L41" s="252"/>
      <c r="M41" s="252"/>
      <c r="N41" s="252">
        <v>0.41</v>
      </c>
      <c r="O41" s="252">
        <v>0.41</v>
      </c>
      <c r="P41" s="252"/>
      <c r="Q41" s="252">
        <v>0.44</v>
      </c>
      <c r="R41" s="252">
        <v>0.44</v>
      </c>
      <c r="S41" s="252">
        <v>0.44</v>
      </c>
    </row>
    <row r="42" spans="2:27" x14ac:dyDescent="0.35">
      <c r="F42" s="37" t="s">
        <v>257</v>
      </c>
      <c r="G42" s="80" t="s">
        <v>167</v>
      </c>
      <c r="H42" s="37"/>
      <c r="I42" s="37"/>
      <c r="J42" s="68"/>
      <c r="K42" s="258">
        <v>0.1777</v>
      </c>
      <c r="L42" s="258"/>
      <c r="M42" s="258"/>
      <c r="N42" s="258">
        <v>0.15</v>
      </c>
      <c r="O42" s="258">
        <v>0.15</v>
      </c>
      <c r="P42" s="258"/>
      <c r="Q42" s="258">
        <v>0.17</v>
      </c>
      <c r="R42" s="258">
        <v>0.17</v>
      </c>
      <c r="S42" s="258">
        <v>0.17</v>
      </c>
    </row>
    <row r="43" spans="2:27" x14ac:dyDescent="0.35">
      <c r="F43" s="37" t="s">
        <v>296</v>
      </c>
      <c r="G43" s="80" t="s">
        <v>167</v>
      </c>
      <c r="H43" s="37"/>
      <c r="I43" s="37"/>
      <c r="J43" s="68"/>
      <c r="K43" s="258">
        <v>0.36606666666666671</v>
      </c>
      <c r="L43" s="258"/>
      <c r="M43" s="258"/>
      <c r="N43" s="258">
        <v>0.32979999999999998</v>
      </c>
      <c r="O43" s="258">
        <v>0.32979999999999998</v>
      </c>
      <c r="P43" s="258"/>
      <c r="Q43" s="258">
        <v>0.2881333333333333</v>
      </c>
      <c r="R43" s="258">
        <v>0.2881333333333333</v>
      </c>
      <c r="S43" s="258">
        <v>0.2881333333333333</v>
      </c>
    </row>
    <row r="45" spans="2:27" x14ac:dyDescent="0.35">
      <c r="B45" s="30" t="s">
        <v>231</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35">
      <c r="E47" t="s">
        <v>232</v>
      </c>
      <c r="G47" s="6" t="s">
        <v>55</v>
      </c>
      <c r="H47" s="24">
        <f t="array" ref="H47">SUM(IF(ISERROR(H15:AA44), 1))</f>
        <v>0</v>
      </c>
    </row>
    <row r="49" spans="2:27" x14ac:dyDescent="0.35">
      <c r="E49" t="s">
        <v>297</v>
      </c>
      <c r="G49" s="6" t="s">
        <v>55</v>
      </c>
      <c r="H49" s="24">
        <f>IF(K19 = 1, 0, 1)</f>
        <v>0</v>
      </c>
    </row>
    <row r="51" spans="2:27" x14ac:dyDescent="0.35">
      <c r="E51" s="32" t="s">
        <v>298</v>
      </c>
    </row>
    <row r="52" spans="2:27" x14ac:dyDescent="0.35">
      <c r="E52" s="29" t="s">
        <v>299</v>
      </c>
    </row>
    <row r="53" spans="2:27" x14ac:dyDescent="0.35">
      <c r="F53" s="23" t="s">
        <v>300</v>
      </c>
      <c r="G53" s="73" t="s">
        <v>55</v>
      </c>
      <c r="H53" s="74">
        <f>SUM(K53:S53)</f>
        <v>0</v>
      </c>
      <c r="I53" s="23"/>
      <c r="J53" s="65"/>
      <c r="K53" s="74">
        <f>IF(ABS(SUM(K40:K42) - 1) &lt; 10^-check_decimals, 0, 1)</f>
        <v>0</v>
      </c>
      <c r="L53" s="65"/>
      <c r="M53" s="65"/>
      <c r="N53" s="74">
        <f>IF(ABS(SUM(N40:N42) - 1) &lt; 10^-check_decimals, 0, 1)</f>
        <v>0</v>
      </c>
      <c r="O53" s="74">
        <f>IF(ABS(SUM(O40:O42) - 1) &lt; 10^-check_decimals, 0, 1)</f>
        <v>0</v>
      </c>
      <c r="P53" s="65"/>
      <c r="Q53" s="74">
        <f>IF(ABS(SUM(Q40:Q42) - 1) &lt; 10^-check_decimals, 0, 1)</f>
        <v>0</v>
      </c>
      <c r="R53" s="74">
        <f>IF(ABS(SUM(R40:R42) - 1) &lt; 10^-check_decimals, 0, 1)</f>
        <v>0</v>
      </c>
      <c r="S53" s="74">
        <f>IF(ABS(SUM(S40:S42) - 1) &lt; 10^-check_decimals, 0, 1)</f>
        <v>0</v>
      </c>
    </row>
    <row r="54" spans="2:27" x14ac:dyDescent="0.35">
      <c r="F54" s="37" t="s">
        <v>192</v>
      </c>
      <c r="G54" s="50" t="s">
        <v>55</v>
      </c>
      <c r="H54" s="75">
        <f>SUM(K54:S54)</f>
        <v>0</v>
      </c>
      <c r="I54" s="37"/>
      <c r="J54" s="68"/>
      <c r="K54" s="68"/>
      <c r="L54" s="75">
        <f>IF(OR(ABS(SUM(L40:L42) - 1) &lt; 10^-check_decimals, ABS(SUM(L40:L42) - 0) &lt; 10^-check_decimals), 0, 1)</f>
        <v>0</v>
      </c>
      <c r="M54" s="75">
        <f>IF(OR(ABS(SUM(M40:M42) - 1) &lt; 10^-check_decimals, ABS(SUM(M40:M42) - 0) &lt; 10^-check_decimals), 0, 1)</f>
        <v>0</v>
      </c>
      <c r="N54" s="68"/>
      <c r="O54" s="68"/>
      <c r="P54" s="75">
        <f>IF(OR(ABS(SUM(P40:P42) - 1) &lt; 10^-check_decimals, ABS(SUM(P40:P42) - 0) &lt; 10^-check_decimals), 0, 1)</f>
        <v>0</v>
      </c>
      <c r="Q54" s="68"/>
      <c r="R54" s="68"/>
      <c r="S54" s="68"/>
    </row>
    <row r="56" spans="2:27" x14ac:dyDescent="0.35">
      <c r="E56" t="s">
        <v>239</v>
      </c>
      <c r="G56" s="6" t="s">
        <v>55</v>
      </c>
      <c r="H56" s="103">
        <f>SUM(H47:H54)</f>
        <v>0</v>
      </c>
    </row>
    <row r="58" spans="2:27" x14ac:dyDescent="0.35">
      <c r="B58" s="30" t="s">
        <v>106</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35">
      <c r="K61" s="84"/>
      <c r="L61" s="84"/>
      <c r="M61" s="84"/>
      <c r="O61" s="84"/>
      <c r="P61" s="84"/>
      <c r="Q61" s="84"/>
      <c r="R61" s="84"/>
    </row>
    <row r="62" spans="2:27" x14ac:dyDescent="0.35">
      <c r="K62" s="84"/>
      <c r="L62" s="84"/>
      <c r="M62" s="84"/>
      <c r="O62" s="84"/>
      <c r="P62" s="84"/>
      <c r="Q62" s="84"/>
      <c r="R62" s="84"/>
    </row>
    <row r="63" spans="2:27" x14ac:dyDescent="0.35">
      <c r="K63" s="84"/>
      <c r="L63" s="84"/>
      <c r="M63" s="84"/>
      <c r="O63" s="84"/>
      <c r="P63" s="84"/>
      <c r="Q63" s="84"/>
      <c r="R63" s="84"/>
    </row>
    <row r="64" spans="2:27" x14ac:dyDescent="0.35">
      <c r="K64" s="84"/>
      <c r="L64" s="84"/>
      <c r="M64" s="84"/>
      <c r="O64" s="84"/>
      <c r="P64" s="84"/>
      <c r="Q64" s="84"/>
      <c r="R64" s="84"/>
    </row>
    <row r="65" spans="11:18" x14ac:dyDescent="0.35">
      <c r="K65" s="84"/>
      <c r="L65" s="84"/>
      <c r="M65" s="84"/>
      <c r="O65" s="84"/>
      <c r="P65" s="84"/>
      <c r="Q65" s="84"/>
      <c r="R65" s="84"/>
    </row>
    <row r="66" spans="11:18" x14ac:dyDescent="0.35">
      <c r="K66" s="84"/>
      <c r="L66" s="84"/>
      <c r="M66" s="84"/>
      <c r="O66" s="84"/>
      <c r="P66" s="84"/>
      <c r="Q66" s="84"/>
      <c r="R66" s="84"/>
    </row>
    <row r="67" spans="11:18" x14ac:dyDescent="0.35">
      <c r="K67" s="84"/>
      <c r="L67" s="84"/>
      <c r="M67" s="84"/>
      <c r="O67" s="84"/>
      <c r="P67" s="84"/>
      <c r="Q67" s="84"/>
      <c r="R67" s="84"/>
    </row>
    <row r="68" spans="11:18" x14ac:dyDescent="0.35">
      <c r="K68" s="84"/>
      <c r="L68" s="84"/>
      <c r="M68" s="84"/>
      <c r="O68" s="84"/>
      <c r="P68" s="84"/>
      <c r="Q68" s="84"/>
      <c r="R68" s="84"/>
    </row>
    <row r="69" spans="11:18" x14ac:dyDescent="0.35">
      <c r="K69" s="84"/>
      <c r="L69" s="84"/>
      <c r="M69" s="84"/>
      <c r="O69" s="84"/>
      <c r="P69" s="84"/>
      <c r="Q69" s="84"/>
      <c r="R69" s="84"/>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6"/>
  <sheetViews>
    <sheetView showGridLines="0" zoomScale="80" zoomScaleNormal="80" workbookViewId="0">
      <pane ySplit="5" topLeftCell="A6" activePane="bottomLeft" state="frozen"/>
      <selection pane="bottomLeft" activeCell="J53" sqref="J53"/>
    </sheetView>
  </sheetViews>
  <sheetFormatPr defaultColWidth="0" defaultRowHeight="14.5" x14ac:dyDescent="0.35"/>
  <cols>
    <col min="1" max="5" width="2.54296875" customWidth="1"/>
    <col min="6" max="6" width="59.54296875" customWidth="1"/>
    <col min="7" max="8" width="20.54296875" customWidth="1"/>
    <col min="9" max="9" width="2.453125" customWidth="1"/>
    <col min="10" max="10" width="50.54296875" customWidth="1"/>
    <col min="11" max="11" width="2.453125" customWidth="1"/>
    <col min="12" max="17" width="15.453125" hidden="1" customWidth="1"/>
    <col min="18" max="27" width="20.54296875" hidden="1" customWidth="1"/>
    <col min="28" max="28" width="2.54296875" hidden="1" customWidth="1"/>
    <col min="29" max="256" width="20.54296875" hidden="1" customWidth="1"/>
    <col min="257" max="16384" width="9.26953125" hidden="1"/>
  </cols>
  <sheetData>
    <row r="1" spans="1:27" s="1" customFormat="1" x14ac:dyDescent="0.35">
      <c r="A1" s="1" t="str">
        <f ca="1">MID(CELL("filename",A1),FIND("]",CELL("filename",A1))+1,255)</f>
        <v>General inputs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H114 &amp; IF(H114 = 1, " issue", " issues") &amp;" identified in checks on this sheet"</f>
        <v>0 issues identified in checks on this sheet</v>
      </c>
      <c r="B4" s="13"/>
      <c r="C4" s="13"/>
      <c r="D4" s="13"/>
      <c r="E4" s="13"/>
      <c r="F4" s="13"/>
      <c r="G4" s="13"/>
      <c r="H4" s="14"/>
      <c r="I4" s="14"/>
      <c r="J4" s="13"/>
    </row>
    <row r="5" spans="1:27" x14ac:dyDescent="0.35">
      <c r="B5" s="59" t="s">
        <v>142</v>
      </c>
      <c r="C5" s="60"/>
      <c r="D5" s="60"/>
      <c r="E5" s="60"/>
      <c r="F5" s="60"/>
      <c r="G5" s="21" t="s">
        <v>143</v>
      </c>
      <c r="H5" s="93" t="s">
        <v>144</v>
      </c>
      <c r="J5" s="61" t="s">
        <v>145</v>
      </c>
    </row>
    <row r="6" spans="1:27" x14ac:dyDescent="0.35">
      <c r="G6" s="13"/>
    </row>
    <row r="7" spans="1:27" x14ac:dyDescent="0.35">
      <c r="B7" s="30" t="s">
        <v>10</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35">
      <c r="G8" s="13"/>
    </row>
    <row r="9" spans="1:27" x14ac:dyDescent="0.35">
      <c r="C9" s="29" t="s">
        <v>301</v>
      </c>
      <c r="G9" s="13"/>
    </row>
    <row r="10" spans="1:27" x14ac:dyDescent="0.35">
      <c r="G10" s="13"/>
    </row>
    <row r="11" spans="1:27" x14ac:dyDescent="0.35">
      <c r="B11" s="30" t="s">
        <v>60</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35">
      <c r="G12" s="13"/>
    </row>
    <row r="13" spans="1:27" x14ac:dyDescent="0.35">
      <c r="C13" s="31" t="str">
        <f ca="1">INDEX('Version control'!$H$34:$H$57,MATCH($A$1,'Version control'!$F$34:$F$57,0),1)&amp;"-A: Inputs by distribution timeband"</f>
        <v>Input 104-A: Inputs by distribution timeband</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35">
      <c r="G14" s="13"/>
    </row>
    <row r="15" spans="1:27" x14ac:dyDescent="0.35">
      <c r="D15" s="32" t="s">
        <v>302</v>
      </c>
      <c r="E15" s="32"/>
      <c r="G15" s="13"/>
      <c r="I15" t="s">
        <v>154</v>
      </c>
      <c r="J15" t="s">
        <v>303</v>
      </c>
    </row>
    <row r="16" spans="1:27" x14ac:dyDescent="0.35">
      <c r="E16" s="64" t="s">
        <v>296</v>
      </c>
      <c r="F16" s="64"/>
      <c r="G16" s="85" t="s">
        <v>304</v>
      </c>
      <c r="H16" s="253">
        <v>258</v>
      </c>
    </row>
    <row r="17" spans="3:27" x14ac:dyDescent="0.35">
      <c r="E17" s="28" t="s">
        <v>305</v>
      </c>
      <c r="F17" s="28"/>
      <c r="G17" s="13" t="s">
        <v>304</v>
      </c>
      <c r="H17" s="254">
        <v>4228</v>
      </c>
    </row>
    <row r="18" spans="3:27" x14ac:dyDescent="0.35">
      <c r="E18" s="67" t="s">
        <v>257</v>
      </c>
      <c r="F18" s="67"/>
      <c r="G18" s="86" t="s">
        <v>304</v>
      </c>
      <c r="H18" s="256">
        <v>4274</v>
      </c>
    </row>
    <row r="19" spans="3:27" x14ac:dyDescent="0.35">
      <c r="G19" s="13"/>
      <c r="H19" s="89"/>
    </row>
    <row r="20" spans="3:27" x14ac:dyDescent="0.35">
      <c r="D20" s="32" t="s">
        <v>306</v>
      </c>
      <c r="E20" s="32"/>
      <c r="G20" s="13"/>
      <c r="H20" s="89"/>
      <c r="I20" t="s">
        <v>154</v>
      </c>
      <c r="J20" t="s">
        <v>303</v>
      </c>
    </row>
    <row r="21" spans="3:27" x14ac:dyDescent="0.35">
      <c r="E21" s="23" t="s">
        <v>294</v>
      </c>
      <c r="F21" s="23"/>
      <c r="G21" s="85" t="s">
        <v>304</v>
      </c>
      <c r="H21" s="253">
        <v>783</v>
      </c>
    </row>
    <row r="22" spans="3:27" x14ac:dyDescent="0.35">
      <c r="E22" t="s">
        <v>295</v>
      </c>
      <c r="G22" s="13" t="s">
        <v>304</v>
      </c>
      <c r="H22" s="254">
        <v>3703</v>
      </c>
    </row>
    <row r="23" spans="3:27" x14ac:dyDescent="0.35">
      <c r="E23" s="37" t="s">
        <v>257</v>
      </c>
      <c r="F23" s="37"/>
      <c r="G23" s="86" t="s">
        <v>304</v>
      </c>
      <c r="H23" s="256">
        <v>4274</v>
      </c>
    </row>
    <row r="24" spans="3:27" x14ac:dyDescent="0.35">
      <c r="G24" s="13"/>
    </row>
    <row r="25" spans="3:27" x14ac:dyDescent="0.35">
      <c r="C25" s="31" t="str">
        <f ca="1">INDEX('Version control'!$H$34:$H$57,MATCH($A$1,'Version control'!$F$34:$F$57,0),1)&amp;"-B: LDNO discount inputs"</f>
        <v>Input 104-B: LDNO discount inputs</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35">
      <c r="G26" s="13"/>
    </row>
    <row r="27" spans="3:27" x14ac:dyDescent="0.35">
      <c r="D27" s="29" t="s">
        <v>307</v>
      </c>
      <c r="E27" s="29"/>
      <c r="G27" s="13"/>
    </row>
    <row r="28" spans="3:27" x14ac:dyDescent="0.35">
      <c r="D28" s="29"/>
      <c r="E28" s="29"/>
      <c r="G28" s="13"/>
    </row>
    <row r="29" spans="3:27" x14ac:dyDescent="0.35">
      <c r="D29" s="32" t="s">
        <v>308</v>
      </c>
      <c r="E29" s="32"/>
      <c r="G29" s="13"/>
      <c r="I29" t="s">
        <v>154</v>
      </c>
      <c r="J29" t="s">
        <v>309</v>
      </c>
    </row>
    <row r="30" spans="3:27" x14ac:dyDescent="0.35">
      <c r="E30" s="64" t="s">
        <v>175</v>
      </c>
      <c r="F30" s="23"/>
      <c r="G30" s="78" t="s">
        <v>167</v>
      </c>
      <c r="H30" s="257">
        <v>0.29370961868251882</v>
      </c>
    </row>
    <row r="31" spans="3:27" x14ac:dyDescent="0.35">
      <c r="E31" s="28" t="s">
        <v>177</v>
      </c>
      <c r="G31" s="72" t="s">
        <v>167</v>
      </c>
      <c r="H31" s="252">
        <v>0.53256520183821399</v>
      </c>
    </row>
    <row r="32" spans="3:27" x14ac:dyDescent="0.35">
      <c r="E32" s="28" t="s">
        <v>178</v>
      </c>
      <c r="G32" s="72" t="s">
        <v>167</v>
      </c>
      <c r="H32" s="252">
        <v>0.32519003293204285</v>
      </c>
    </row>
    <row r="33" spans="3:27" x14ac:dyDescent="0.35">
      <c r="E33" s="67" t="s">
        <v>179</v>
      </c>
      <c r="F33" s="37"/>
      <c r="G33" s="80" t="s">
        <v>167</v>
      </c>
      <c r="H33" s="258">
        <v>0.26241459087249852</v>
      </c>
    </row>
    <row r="34" spans="3:27" x14ac:dyDescent="0.35">
      <c r="G34" s="13"/>
    </row>
    <row r="35" spans="3:27" x14ac:dyDescent="0.35">
      <c r="C35" s="31" t="str">
        <f ca="1">INDEX('Version control'!$H$34:$H$57,MATCH($A$1,'Version control'!$F$34:$F$57,0),1)&amp;"-C: CDCM target revenue"</f>
        <v>Input 104-C: CDCM target revenue</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35">
      <c r="D37" s="29" t="s">
        <v>310</v>
      </c>
      <c r="E37" s="29"/>
      <c r="G37" s="13"/>
      <c r="H37" s="13"/>
      <c r="I37" t="s">
        <v>154</v>
      </c>
      <c r="J37" t="s">
        <v>311</v>
      </c>
      <c r="K37" s="13"/>
      <c r="L37" s="13"/>
      <c r="M37" s="13"/>
      <c r="N37" s="13"/>
      <c r="O37" s="13"/>
      <c r="P37" s="13"/>
      <c r="Q37" s="13"/>
      <c r="R37" s="13"/>
      <c r="S37" s="13"/>
    </row>
    <row r="38" spans="3:27" x14ac:dyDescent="0.35">
      <c r="D38" s="29" t="s">
        <v>828</v>
      </c>
      <c r="E38" s="29"/>
      <c r="G38" s="13"/>
      <c r="H38" s="13"/>
      <c r="I38" s="13"/>
      <c r="J38" s="97"/>
      <c r="K38" s="13"/>
      <c r="L38" s="13"/>
      <c r="M38" s="13"/>
      <c r="N38" s="13"/>
      <c r="O38" s="13"/>
      <c r="P38" s="13"/>
      <c r="Q38" s="13"/>
      <c r="R38" s="13"/>
      <c r="S38" s="13"/>
    </row>
    <row r="39" spans="3:27" x14ac:dyDescent="0.35">
      <c r="E39" s="32"/>
    </row>
    <row r="40" spans="3:27" x14ac:dyDescent="0.35">
      <c r="E40" t="s">
        <v>312</v>
      </c>
      <c r="G40" t="s">
        <v>277</v>
      </c>
      <c r="H40" s="254">
        <v>257100000.00000003</v>
      </c>
    </row>
    <row r="41" spans="3:27" x14ac:dyDescent="0.35">
      <c r="E41" t="s">
        <v>313</v>
      </c>
      <c r="G41" t="s">
        <v>277</v>
      </c>
      <c r="H41" s="254">
        <v>7237572.8143907739</v>
      </c>
    </row>
    <row r="42" spans="3:27" x14ac:dyDescent="0.35">
      <c r="E42" t="s">
        <v>314</v>
      </c>
      <c r="G42" t="s">
        <v>277</v>
      </c>
      <c r="H42" s="254">
        <v>-1885355.1611605568</v>
      </c>
    </row>
    <row r="43" spans="3:27" x14ac:dyDescent="0.35">
      <c r="E43" s="37" t="s">
        <v>315</v>
      </c>
      <c r="F43" s="37"/>
      <c r="G43" s="37" t="s">
        <v>283</v>
      </c>
      <c r="H43" s="256">
        <v>1.2769999999999999</v>
      </c>
    </row>
    <row r="44" spans="3:27" x14ac:dyDescent="0.35">
      <c r="E44" t="s">
        <v>316</v>
      </c>
      <c r="G44" t="s">
        <v>277</v>
      </c>
      <c r="H44" s="98">
        <f>SUM(H40:H42)</f>
        <v>262452217.65323025</v>
      </c>
    </row>
    <row r="45" spans="3:27" x14ac:dyDescent="0.35">
      <c r="E45" t="s">
        <v>317</v>
      </c>
      <c r="G45" t="s">
        <v>277</v>
      </c>
      <c r="H45" s="98">
        <f>H44 * (H43 - 1)</f>
        <v>72699264.289944753</v>
      </c>
    </row>
    <row r="46" spans="3:27" x14ac:dyDescent="0.35">
      <c r="H46" s="89"/>
    </row>
    <row r="47" spans="3:27" x14ac:dyDescent="0.35">
      <c r="E47" t="s">
        <v>318</v>
      </c>
      <c r="G47" t="s">
        <v>277</v>
      </c>
      <c r="H47" s="254">
        <v>146008.47936166241</v>
      </c>
    </row>
    <row r="48" spans="3:27" x14ac:dyDescent="0.35">
      <c r="E48" t="s">
        <v>319</v>
      </c>
      <c r="G48" t="s">
        <v>277</v>
      </c>
      <c r="H48" s="254">
        <v>-7608045.7313868916</v>
      </c>
    </row>
    <row r="49" spans="5:8" x14ac:dyDescent="0.35">
      <c r="E49" t="s">
        <v>320</v>
      </c>
      <c r="G49" t="s">
        <v>277</v>
      </c>
      <c r="H49" s="254">
        <v>-3670327.5739320903</v>
      </c>
    </row>
    <row r="50" spans="5:8" x14ac:dyDescent="0.35">
      <c r="E50" t="s">
        <v>321</v>
      </c>
      <c r="G50" t="s">
        <v>277</v>
      </c>
      <c r="H50" s="254">
        <v>978240.46350707998</v>
      </c>
    </row>
    <row r="51" spans="5:8" x14ac:dyDescent="0.35">
      <c r="E51" t="s">
        <v>322</v>
      </c>
      <c r="G51" t="s">
        <v>277</v>
      </c>
      <c r="H51" s="254">
        <v>92694.368269286511</v>
      </c>
    </row>
    <row r="52" spans="5:8" x14ac:dyDescent="0.35">
      <c r="E52" t="s">
        <v>323</v>
      </c>
      <c r="G52" t="s">
        <v>277</v>
      </c>
      <c r="H52" s="254">
        <v>-136016.70922917</v>
      </c>
    </row>
    <row r="53" spans="5:8" x14ac:dyDescent="0.35">
      <c r="E53" t="s">
        <v>873</v>
      </c>
      <c r="G53" t="s">
        <v>277</v>
      </c>
      <c r="H53" s="254">
        <f>66058.6580348849+25782085.63</f>
        <v>25848144.288034882</v>
      </c>
    </row>
    <row r="54" spans="5:8" x14ac:dyDescent="0.35">
      <c r="E54" t="s">
        <v>874</v>
      </c>
      <c r="G54" t="s">
        <v>277</v>
      </c>
      <c r="H54" s="254">
        <v>145062.72659518197</v>
      </c>
    </row>
    <row r="55" spans="5:8" x14ac:dyDescent="0.35">
      <c r="E55" s="37" t="s">
        <v>324</v>
      </c>
      <c r="F55" s="37"/>
      <c r="G55" s="37" t="s">
        <v>277</v>
      </c>
      <c r="H55" s="256">
        <v>-94398839.351675078</v>
      </c>
    </row>
    <row r="56" spans="5:8" x14ac:dyDescent="0.35">
      <c r="E56" t="s">
        <v>325</v>
      </c>
      <c r="G56" t="s">
        <v>277</v>
      </c>
      <c r="H56" s="99">
        <f>SUM(H47:H55)</f>
        <v>-78603079.040455133</v>
      </c>
    </row>
    <row r="57" spans="5:8" x14ac:dyDescent="0.35">
      <c r="H57" s="89"/>
    </row>
    <row r="58" spans="5:8" x14ac:dyDescent="0.35">
      <c r="E58" t="s">
        <v>326</v>
      </c>
      <c r="G58" t="s">
        <v>277</v>
      </c>
      <c r="H58" s="254">
        <v>3020159.3951159706</v>
      </c>
    </row>
    <row r="59" spans="5:8" x14ac:dyDescent="0.35">
      <c r="E59" t="s">
        <v>327</v>
      </c>
      <c r="G59" t="s">
        <v>277</v>
      </c>
      <c r="H59" s="254">
        <v>3066805.4363318086</v>
      </c>
    </row>
    <row r="60" spans="5:8" x14ac:dyDescent="0.35">
      <c r="E60" t="s">
        <v>328</v>
      </c>
      <c r="G60" t="s">
        <v>277</v>
      </c>
      <c r="H60" s="254">
        <v>0</v>
      </c>
    </row>
    <row r="61" spans="5:8" x14ac:dyDescent="0.35">
      <c r="E61" t="s">
        <v>329</v>
      </c>
      <c r="G61" t="s">
        <v>277</v>
      </c>
      <c r="H61" s="254">
        <v>966451.0064371106</v>
      </c>
    </row>
    <row r="62" spans="5:8" x14ac:dyDescent="0.35">
      <c r="E62" t="s">
        <v>330</v>
      </c>
      <c r="G62" t="s">
        <v>277</v>
      </c>
      <c r="H62" s="254">
        <v>0</v>
      </c>
    </row>
    <row r="63" spans="5:8" x14ac:dyDescent="0.35">
      <c r="E63" t="s">
        <v>331</v>
      </c>
      <c r="G63" t="s">
        <v>277</v>
      </c>
      <c r="H63" s="254">
        <v>1180800</v>
      </c>
    </row>
    <row r="64" spans="5:8" x14ac:dyDescent="0.35">
      <c r="E64" t="s">
        <v>332</v>
      </c>
      <c r="G64" t="s">
        <v>277</v>
      </c>
      <c r="H64" s="254">
        <v>0</v>
      </c>
    </row>
    <row r="65" spans="5:8" x14ac:dyDescent="0.35">
      <c r="E65" t="s">
        <v>333</v>
      </c>
      <c r="G65" t="s">
        <v>277</v>
      </c>
      <c r="H65" s="254">
        <v>0</v>
      </c>
    </row>
    <row r="66" spans="5:8" x14ac:dyDescent="0.35">
      <c r="E66" t="s">
        <v>334</v>
      </c>
      <c r="G66" t="s">
        <v>277</v>
      </c>
      <c r="H66" s="254">
        <v>0</v>
      </c>
    </row>
    <row r="67" spans="5:8" x14ac:dyDescent="0.35">
      <c r="E67" t="s">
        <v>335</v>
      </c>
      <c r="G67" t="s">
        <v>277</v>
      </c>
      <c r="H67" s="254">
        <v>0</v>
      </c>
    </row>
    <row r="68" spans="5:8" x14ac:dyDescent="0.35">
      <c r="E68" s="37" t="s">
        <v>336</v>
      </c>
      <c r="F68" s="37"/>
      <c r="G68" s="37" t="s">
        <v>277</v>
      </c>
      <c r="H68" s="256">
        <v>0</v>
      </c>
    </row>
    <row r="69" spans="5:8" x14ac:dyDescent="0.35">
      <c r="E69" t="s">
        <v>337</v>
      </c>
      <c r="G69" t="s">
        <v>277</v>
      </c>
      <c r="H69" s="98">
        <f>SUM(H58:H68)</f>
        <v>8234215.8378848899</v>
      </c>
    </row>
    <row r="70" spans="5:8" x14ac:dyDescent="0.35">
      <c r="H70" s="89"/>
    </row>
    <row r="71" spans="5:8" x14ac:dyDescent="0.35">
      <c r="E71" s="37" t="s">
        <v>338</v>
      </c>
      <c r="F71" s="37"/>
      <c r="G71" s="37" t="s">
        <v>277</v>
      </c>
      <c r="H71" s="256">
        <v>-10712232.5006829</v>
      </c>
    </row>
    <row r="72" spans="5:8" x14ac:dyDescent="0.35">
      <c r="E72" t="s">
        <v>339</v>
      </c>
      <c r="G72" t="s">
        <v>277</v>
      </c>
      <c r="H72" s="98">
        <f>H71 + H69 + H56 + H45 + H44</f>
        <v>254070386.23992187</v>
      </c>
    </row>
    <row r="73" spans="5:8" x14ac:dyDescent="0.35">
      <c r="H73" s="89"/>
    </row>
    <row r="74" spans="5:8" x14ac:dyDescent="0.35">
      <c r="E74" t="s">
        <v>340</v>
      </c>
      <c r="G74" t="s">
        <v>277</v>
      </c>
      <c r="H74" s="254"/>
    </row>
    <row r="75" spans="5:8" x14ac:dyDescent="0.35">
      <c r="E75" t="s">
        <v>341</v>
      </c>
      <c r="G75" t="s">
        <v>277</v>
      </c>
      <c r="H75" s="254"/>
    </row>
    <row r="76" spans="5:8" x14ac:dyDescent="0.35">
      <c r="E76" t="s">
        <v>342</v>
      </c>
      <c r="G76" t="s">
        <v>277</v>
      </c>
      <c r="H76" s="254"/>
    </row>
    <row r="77" spans="5:8" x14ac:dyDescent="0.35">
      <c r="E77" t="s">
        <v>343</v>
      </c>
      <c r="G77" t="s">
        <v>277</v>
      </c>
      <c r="H77" s="254"/>
    </row>
    <row r="78" spans="5:8" x14ac:dyDescent="0.35">
      <c r="E78" s="37" t="s">
        <v>344</v>
      </c>
      <c r="F78" s="37"/>
      <c r="G78" s="37" t="s">
        <v>277</v>
      </c>
      <c r="H78" s="256"/>
    </row>
    <row r="79" spans="5:8" x14ac:dyDescent="0.35">
      <c r="E79" s="37" t="s">
        <v>345</v>
      </c>
      <c r="F79" s="37"/>
      <c r="G79" s="37" t="s">
        <v>277</v>
      </c>
      <c r="H79" s="100">
        <f>SUM(H74:H78)</f>
        <v>0</v>
      </c>
    </row>
    <row r="80" spans="5:8" x14ac:dyDescent="0.35">
      <c r="E80" t="s">
        <v>346</v>
      </c>
      <c r="G80" t="s">
        <v>277</v>
      </c>
      <c r="H80" s="99">
        <f>H72+H79</f>
        <v>254070386.23992187</v>
      </c>
    </row>
    <row r="81" spans="3:27" x14ac:dyDescent="0.35">
      <c r="H81" s="89"/>
    </row>
    <row r="82" spans="3:27" x14ac:dyDescent="0.35">
      <c r="E82" t="s">
        <v>347</v>
      </c>
      <c r="G82" t="s">
        <v>277</v>
      </c>
      <c r="H82" s="254">
        <v>5903782.4419450006</v>
      </c>
    </row>
    <row r="83" spans="3:27" x14ac:dyDescent="0.35">
      <c r="E83" t="s">
        <v>348</v>
      </c>
      <c r="G83" t="s">
        <v>277</v>
      </c>
      <c r="H83" s="254"/>
    </row>
    <row r="84" spans="3:27" x14ac:dyDescent="0.35">
      <c r="E84" t="s">
        <v>349</v>
      </c>
      <c r="G84" t="s">
        <v>277</v>
      </c>
      <c r="H84" s="254"/>
    </row>
    <row r="85" spans="3:27" x14ac:dyDescent="0.35">
      <c r="E85" s="37" t="s">
        <v>350</v>
      </c>
      <c r="F85" s="37"/>
      <c r="G85" s="37" t="s">
        <v>277</v>
      </c>
      <c r="H85" s="256"/>
    </row>
    <row r="86" spans="3:27" x14ac:dyDescent="0.35">
      <c r="E86" t="s">
        <v>351</v>
      </c>
      <c r="G86" t="s">
        <v>277</v>
      </c>
      <c r="H86" s="98">
        <f>SUM(H82:H85)</f>
        <v>5903782.4419450006</v>
      </c>
    </row>
    <row r="87" spans="3:27" x14ac:dyDescent="0.35">
      <c r="E87" s="23" t="s">
        <v>352</v>
      </c>
      <c r="F87" s="23"/>
      <c r="G87" s="23" t="s">
        <v>277</v>
      </c>
      <c r="H87" s="101">
        <f>H80-H86</f>
        <v>248166603.79797688</v>
      </c>
    </row>
    <row r="88" spans="3:27" x14ac:dyDescent="0.35">
      <c r="H88" s="102"/>
    </row>
    <row r="89" spans="3:27" x14ac:dyDescent="0.35">
      <c r="C89" s="31" t="str">
        <f ca="1">INDEX('Version control'!$H$34:$H$57,MATCH($A$1,'Version control'!$F$34:$F$57,0),1)&amp;"-D: Financial and general assumptions"</f>
        <v>Input 104-D: Financial and general assumptions</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35">
      <c r="E91" s="28" t="s">
        <v>353</v>
      </c>
      <c r="G91" t="s">
        <v>167</v>
      </c>
      <c r="H91" s="259">
        <v>3.6499999999999998E-2</v>
      </c>
      <c r="I91" t="s">
        <v>154</v>
      </c>
      <c r="J91" s="3" t="s">
        <v>165</v>
      </c>
    </row>
    <row r="92" spans="3:27" x14ac:dyDescent="0.35">
      <c r="E92" s="28" t="s">
        <v>127</v>
      </c>
      <c r="G92" s="28" t="s">
        <v>354</v>
      </c>
      <c r="H92" s="243">
        <v>365</v>
      </c>
    </row>
    <row r="93" spans="3:27" x14ac:dyDescent="0.35">
      <c r="E93" t="s">
        <v>355</v>
      </c>
      <c r="G93" t="s">
        <v>147</v>
      </c>
      <c r="H93" s="103">
        <f>days_in_year * hours_in_day</f>
        <v>8760</v>
      </c>
    </row>
    <row r="95" spans="3:27" x14ac:dyDescent="0.35">
      <c r="C95" s="31" t="str">
        <f ca="1">INDEX('Version control'!$H$34:$H$57,MATCH($A$1,'Version control'!$F$34:$F$57,0),1)&amp;"-E: Transmission exit charges"</f>
        <v>Input 104-E: Transmission exit charges</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35">
      <c r="E97" s="28" t="s">
        <v>356</v>
      </c>
      <c r="G97" t="s">
        <v>357</v>
      </c>
      <c r="H97" s="254">
        <v>21960035.67327955</v>
      </c>
      <c r="I97" t="s">
        <v>154</v>
      </c>
      <c r="J97" t="s">
        <v>358</v>
      </c>
    </row>
    <row r="98" spans="2:27" x14ac:dyDescent="0.35">
      <c r="H98" s="89"/>
    </row>
    <row r="99" spans="2:27" x14ac:dyDescent="0.35">
      <c r="C99" s="31" t="str">
        <f ca="1">INDEX('Version control'!$H$34:$H$57,MATCH($A$1,'Version control'!$F$34:$F$57,0),1)&amp;"-F: Other expenditure"</f>
        <v>Input 104-F: Other expenditure</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35">
      <c r="H100" s="89"/>
    </row>
    <row r="101" spans="2:27" x14ac:dyDescent="0.35">
      <c r="E101" s="32" t="s">
        <v>359</v>
      </c>
      <c r="F101" s="32"/>
      <c r="H101" s="89"/>
      <c r="I101" t="s">
        <v>154</v>
      </c>
      <c r="J101" t="s">
        <v>170</v>
      </c>
    </row>
    <row r="102" spans="2:27" x14ac:dyDescent="0.35">
      <c r="F102" s="64" t="s">
        <v>360</v>
      </c>
      <c r="G102" s="23" t="s">
        <v>357</v>
      </c>
      <c r="H102" s="253">
        <v>29788631.737043757</v>
      </c>
    </row>
    <row r="103" spans="2:27" x14ac:dyDescent="0.35">
      <c r="F103" s="28" t="s">
        <v>361</v>
      </c>
      <c r="G103" t="s">
        <v>357</v>
      </c>
      <c r="H103" s="254">
        <v>69231946.082638517</v>
      </c>
      <c r="R103" s="88"/>
      <c r="S103" s="88"/>
    </row>
    <row r="104" spans="2:27" x14ac:dyDescent="0.35">
      <c r="F104" s="67" t="s">
        <v>362</v>
      </c>
      <c r="G104" s="37" t="s">
        <v>357</v>
      </c>
      <c r="H104" s="256">
        <v>24954705.247499991</v>
      </c>
      <c r="R104" s="88"/>
      <c r="S104" s="88"/>
    </row>
    <row r="106" spans="2:27" x14ac:dyDescent="0.35">
      <c r="B106" s="30" t="s">
        <v>231</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35">
      <c r="E108" t="s">
        <v>232</v>
      </c>
      <c r="G108" s="6" t="s">
        <v>55</v>
      </c>
      <c r="H108" s="24">
        <f t="array" ref="H108">SUM(IF(ISERROR(H6:H105), 1))</f>
        <v>0</v>
      </c>
    </row>
    <row r="110" spans="2:27" x14ac:dyDescent="0.35">
      <c r="E110" s="32" t="s">
        <v>363</v>
      </c>
    </row>
    <row r="111" spans="2:27" x14ac:dyDescent="0.35">
      <c r="F111" s="23" t="s">
        <v>364</v>
      </c>
      <c r="G111" s="73" t="s">
        <v>55</v>
      </c>
      <c r="H111" s="74">
        <f>IF(SUM(H16:H18) = hours_in_year, 0, 1)</f>
        <v>0</v>
      </c>
    </row>
    <row r="112" spans="2:27" x14ac:dyDescent="0.35">
      <c r="F112" s="37" t="s">
        <v>365</v>
      </c>
      <c r="G112" s="50" t="s">
        <v>55</v>
      </c>
      <c r="H112" s="75">
        <f>IF(SUM(H21:H23) = hours_in_year, 0, 1)</f>
        <v>0</v>
      </c>
    </row>
    <row r="114" spans="2:27" x14ac:dyDescent="0.35">
      <c r="E114" t="s">
        <v>239</v>
      </c>
      <c r="G114" s="6" t="s">
        <v>55</v>
      </c>
      <c r="H114" s="103">
        <f>SUM(H108,H111:H112)</f>
        <v>0</v>
      </c>
    </row>
    <row r="116" spans="2:27" x14ac:dyDescent="0.35">
      <c r="B116" s="30" t="s">
        <v>106</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4" priority="5" operator="greaterThan">
      <formula>0</formula>
    </cfRule>
  </conditionalFormatting>
  <conditionalFormatting sqref="H111:H113">
    <cfRule type="cellIs" dxfId="183" priority="4" operator="greaterThan">
      <formula>0</formula>
    </cfRule>
  </conditionalFormatting>
  <conditionalFormatting sqref="A4:XFD4">
    <cfRule type="expression" dxfId="182" priority="2">
      <formula>LEFT($A$4,1) &lt;&gt; "0"</formula>
    </cfRule>
  </conditionalFormatting>
  <conditionalFormatting sqref="H114">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2" xr:uid="{00000000-0002-0000-0800-000001000000}">
      <formula1>365</formula1>
      <formula2>366</formula2>
    </dataValidation>
    <dataValidation type="decimal" operator="greaterThanOrEqual" allowBlank="1" showInputMessage="1" showErrorMessage="1" sqref="H102:H104 H16:H18 H97 H21:H23" xr:uid="{00000000-0002-0000-0800-000002000000}">
      <formula1>0</formula1>
    </dataValidation>
    <dataValidation type="decimal" operator="greaterThanOrEqual" allowBlank="1" showInputMessage="1" showErrorMessage="1" error="The rate of return must be a non-negative percentage value." sqref="H91" xr:uid="{00000000-0002-0000-0800-000003000000}">
      <formula1>0</formula1>
    </dataValidation>
    <dataValidation type="whole" allowBlank="1" showInputMessage="1" showErrorMessage="1" sqref="H93"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ignoredErrors>
    <ignoredError sqref="H5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Standing charge factors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H58 &amp; IF(H58 = 1, " issue", " issues") &amp;" identified in checks on this sheet"</f>
        <v>0 issues identified in checks on this sheet</v>
      </c>
      <c r="B4" s="13"/>
      <c r="C4" s="13"/>
      <c r="D4" s="13"/>
      <c r="E4" s="13"/>
      <c r="F4" s="13"/>
      <c r="G4" s="13"/>
      <c r="H4" s="14"/>
      <c r="I4" s="14"/>
    </row>
    <row r="5" spans="1:27"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x14ac:dyDescent="0.35">
      <c r="B7" s="30" t="s">
        <v>10</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35">
      <c r="C9" s="29" t="s">
        <v>366</v>
      </c>
      <c r="E9"/>
    </row>
    <row r="10" spans="1:27" x14ac:dyDescent="0.35">
      <c r="C10" s="29" t="s">
        <v>367</v>
      </c>
      <c r="E10"/>
    </row>
    <row r="11" spans="1:27" x14ac:dyDescent="0.35">
      <c r="C11" s="29" t="s">
        <v>368</v>
      </c>
      <c r="E11"/>
    </row>
    <row r="12" spans="1:27" x14ac:dyDescent="0.35">
      <c r="C12" s="29" t="s">
        <v>369</v>
      </c>
      <c r="E12"/>
    </row>
    <row r="13" spans="1:27" x14ac:dyDescent="0.35">
      <c r="C13" s="29"/>
      <c r="E13"/>
    </row>
    <row r="14" spans="1:27" x14ac:dyDescent="0.35">
      <c r="C14" s="29" t="s">
        <v>370</v>
      </c>
      <c r="E14"/>
    </row>
    <row r="15" spans="1:27" x14ac:dyDescent="0.35">
      <c r="C15" s="29" t="s">
        <v>371</v>
      </c>
      <c r="E15"/>
    </row>
    <row r="17" spans="2:27" x14ac:dyDescent="0.35">
      <c r="B17" s="30" t="s">
        <v>372</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35">
      <c r="C18" s="88"/>
    </row>
    <row r="19" spans="2:27" x14ac:dyDescent="0.3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35">
      <c r="C20" s="88"/>
    </row>
    <row r="21" spans="2:27" x14ac:dyDescent="0.35">
      <c r="D21" s="29" t="s">
        <v>373</v>
      </c>
      <c r="F21" s="2"/>
    </row>
    <row r="22" spans="2:27" x14ac:dyDescent="0.35">
      <c r="D22" s="88"/>
      <c r="F22" s="2"/>
    </row>
    <row r="23" spans="2:27" x14ac:dyDescent="0.35">
      <c r="D23"/>
      <c r="E23" s="32" t="s">
        <v>374</v>
      </c>
      <c r="F23" s="32"/>
      <c r="I23" t="s">
        <v>154</v>
      </c>
      <c r="AA23" t="s">
        <v>203</v>
      </c>
    </row>
    <row r="24" spans="2:27" x14ac:dyDescent="0.35">
      <c r="D24"/>
      <c r="E24" s="29" t="s">
        <v>375</v>
      </c>
    </row>
    <row r="25" spans="2:27" x14ac:dyDescent="0.35">
      <c r="D25" s="88"/>
      <c r="F25" s="23" t="s">
        <v>189</v>
      </c>
      <c r="G25" s="23" t="s">
        <v>167</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35">
      <c r="D26" s="88"/>
      <c r="F26" t="s">
        <v>191</v>
      </c>
      <c r="G26" t="s">
        <v>167</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35">
      <c r="D27" s="88"/>
      <c r="F27" t="s">
        <v>192</v>
      </c>
      <c r="G27" t="s">
        <v>167</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35">
      <c r="D28" s="88"/>
      <c r="F28" t="s">
        <v>193</v>
      </c>
      <c r="G28" t="s">
        <v>167</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35">
      <c r="D29" s="88"/>
      <c r="F29" t="s">
        <v>194</v>
      </c>
      <c r="G29" t="s">
        <v>167</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35">
      <c r="D30" s="88"/>
      <c r="F30" t="s">
        <v>195</v>
      </c>
      <c r="G30" t="s">
        <v>167</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35">
      <c r="D31" s="88"/>
      <c r="F31" t="s">
        <v>196</v>
      </c>
      <c r="G31" t="s">
        <v>167</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35">
      <c r="D32" s="88"/>
      <c r="F32" t="s">
        <v>197</v>
      </c>
      <c r="G32" t="s">
        <v>167</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35">
      <c r="D33" s="88"/>
      <c r="F33" t="s">
        <v>198</v>
      </c>
      <c r="G33" t="s">
        <v>167</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35">
      <c r="D34" s="88"/>
      <c r="F34" t="s">
        <v>199</v>
      </c>
      <c r="G34" t="s">
        <v>167</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35">
      <c r="D35" s="88"/>
      <c r="F35" t="s">
        <v>376</v>
      </c>
      <c r="G35" t="s">
        <v>167</v>
      </c>
      <c r="J35" s="66"/>
      <c r="K35" s="66"/>
      <c r="L35" s="66"/>
      <c r="M35" s="66"/>
      <c r="N35" s="66"/>
      <c r="O35" s="66"/>
      <c r="P35" s="66"/>
      <c r="Q35" s="66"/>
      <c r="R35" s="66"/>
      <c r="S35" s="66"/>
      <c r="T35" s="66"/>
      <c r="U35" s="66"/>
      <c r="V35" s="66"/>
      <c r="W35" s="66"/>
      <c r="X35" s="66"/>
      <c r="Y35" s="66"/>
    </row>
    <row r="36" spans="4:27" x14ac:dyDescent="0.35">
      <c r="D36" s="88"/>
      <c r="F36" s="37" t="s">
        <v>377</v>
      </c>
      <c r="G36" s="37" t="s">
        <v>167</v>
      </c>
      <c r="H36" s="37"/>
      <c r="I36" s="37"/>
      <c r="J36" s="68"/>
      <c r="K36" s="68"/>
      <c r="L36" s="68"/>
      <c r="M36" s="68"/>
      <c r="N36" s="68"/>
      <c r="O36" s="68"/>
      <c r="P36" s="68"/>
      <c r="Q36" s="68"/>
      <c r="R36" s="68"/>
      <c r="S36" s="68"/>
      <c r="T36" s="68"/>
      <c r="U36" s="68"/>
      <c r="V36" s="68"/>
      <c r="W36" s="68"/>
      <c r="X36" s="68"/>
      <c r="Y36" s="68"/>
    </row>
    <row r="37" spans="4:27" x14ac:dyDescent="0.35">
      <c r="D37" s="88"/>
      <c r="F37" s="2"/>
    </row>
    <row r="38" spans="4:27" x14ac:dyDescent="0.35">
      <c r="D38"/>
      <c r="E38" s="32" t="s">
        <v>281</v>
      </c>
      <c r="F38" s="2"/>
    </row>
    <row r="39" spans="4:27" x14ac:dyDescent="0.35">
      <c r="D39" s="88"/>
      <c r="E39"/>
      <c r="F39" s="28" t="s">
        <v>281</v>
      </c>
      <c r="G39" s="28" t="s">
        <v>167</v>
      </c>
      <c r="H39" s="25">
        <f>'Inputs by network level'!P17</f>
        <v>0</v>
      </c>
    </row>
    <row r="40" spans="4:27" x14ac:dyDescent="0.35">
      <c r="D40" s="88"/>
      <c r="F40" s="2"/>
    </row>
    <row r="41" spans="4:27" x14ac:dyDescent="0.35">
      <c r="D41"/>
      <c r="E41" s="32" t="s">
        <v>378</v>
      </c>
      <c r="F41" s="32"/>
    </row>
    <row r="42" spans="4:27" x14ac:dyDescent="0.35">
      <c r="D42"/>
      <c r="E42" s="29" t="s">
        <v>379</v>
      </c>
    </row>
    <row r="43" spans="4:27" x14ac:dyDescent="0.35">
      <c r="D43" s="88"/>
      <c r="F43" s="23" t="s">
        <v>189</v>
      </c>
      <c r="G43" s="23" t="s">
        <v>167</v>
      </c>
      <c r="H43" s="23"/>
      <c r="I43" s="23"/>
      <c r="J43" s="65"/>
      <c r="K43" s="65"/>
      <c r="L43" s="65"/>
      <c r="M43" s="65"/>
      <c r="N43" s="65"/>
      <c r="O43" s="65"/>
      <c r="P43" s="65"/>
      <c r="Q43" s="65"/>
      <c r="R43" s="65"/>
      <c r="S43" s="65"/>
      <c r="T43" s="65"/>
      <c r="U43" s="65"/>
      <c r="V43" s="65"/>
      <c r="W43" s="65"/>
      <c r="X43" s="65"/>
      <c r="Y43" s="65"/>
    </row>
    <row r="44" spans="4:27" x14ac:dyDescent="0.35">
      <c r="D44" s="88"/>
      <c r="F44" t="s">
        <v>191</v>
      </c>
      <c r="G44" t="s">
        <v>167</v>
      </c>
      <c r="J44" s="66"/>
      <c r="K44" s="66"/>
      <c r="L44" s="66"/>
      <c r="M44" s="66"/>
      <c r="N44" s="66"/>
      <c r="O44" s="66"/>
      <c r="P44" s="66"/>
      <c r="Q44" s="66"/>
      <c r="R44" s="66"/>
      <c r="S44" s="66"/>
      <c r="T44" s="66"/>
      <c r="U44" s="66"/>
      <c r="V44" s="66"/>
      <c r="W44" s="66"/>
      <c r="X44" s="66"/>
      <c r="Y44" s="66"/>
    </row>
    <row r="45" spans="4:27" x14ac:dyDescent="0.35">
      <c r="D45" s="88"/>
      <c r="F45" s="108" t="s">
        <v>192</v>
      </c>
      <c r="G45" s="108" t="s">
        <v>167</v>
      </c>
      <c r="H45" s="108"/>
      <c r="I45" s="108" t="s">
        <v>154</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380</v>
      </c>
    </row>
    <row r="46" spans="4:27" x14ac:dyDescent="0.35">
      <c r="D46" s="88"/>
      <c r="F46" t="s">
        <v>193</v>
      </c>
      <c r="G46" t="s">
        <v>167</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35">
      <c r="D47" s="88"/>
      <c r="F47" t="s">
        <v>194</v>
      </c>
      <c r="G47" t="s">
        <v>167</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35">
      <c r="D48" s="88"/>
      <c r="F48" t="s">
        <v>195</v>
      </c>
      <c r="G48" t="s">
        <v>167</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35">
      <c r="D49" s="88"/>
      <c r="F49" s="108" t="s">
        <v>196</v>
      </c>
      <c r="G49" s="108" t="s">
        <v>167</v>
      </c>
      <c r="H49" s="108"/>
      <c r="I49" s="108" t="s">
        <v>154</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381</v>
      </c>
    </row>
    <row r="50" spans="2:27" x14ac:dyDescent="0.35">
      <c r="D50" s="88"/>
      <c r="F50" t="s">
        <v>197</v>
      </c>
      <c r="G50" t="s">
        <v>167</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35">
      <c r="D51" s="88"/>
      <c r="F51" t="s">
        <v>198</v>
      </c>
      <c r="G51" t="s">
        <v>167</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35">
      <c r="D52" s="88"/>
      <c r="F52" t="s">
        <v>199</v>
      </c>
      <c r="G52" t="s">
        <v>167</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35">
      <c r="D53" s="88"/>
      <c r="F53" t="s">
        <v>376</v>
      </c>
      <c r="G53" t="s">
        <v>167</v>
      </c>
      <c r="J53" s="66"/>
      <c r="K53" s="66"/>
      <c r="L53" s="66"/>
      <c r="M53" s="66"/>
      <c r="N53" s="66"/>
      <c r="O53" s="66"/>
      <c r="P53" s="66"/>
      <c r="Q53" s="66"/>
      <c r="R53" s="66"/>
      <c r="S53" s="66"/>
      <c r="T53" s="66"/>
      <c r="U53" s="66"/>
      <c r="V53" s="66"/>
      <c r="W53" s="66"/>
      <c r="X53" s="66"/>
      <c r="Y53" s="66"/>
    </row>
    <row r="54" spans="2:27" x14ac:dyDescent="0.35">
      <c r="D54" s="88"/>
      <c r="F54" s="37" t="s">
        <v>377</v>
      </c>
      <c r="G54" s="37" t="s">
        <v>167</v>
      </c>
      <c r="H54" s="37"/>
      <c r="I54" s="37"/>
      <c r="J54" s="68"/>
      <c r="K54" s="68"/>
      <c r="L54" s="68"/>
      <c r="M54" s="68"/>
      <c r="N54" s="68"/>
      <c r="O54" s="68"/>
      <c r="P54" s="68"/>
      <c r="Q54" s="68"/>
      <c r="R54" s="68"/>
      <c r="S54" s="68"/>
      <c r="T54" s="68"/>
      <c r="U54" s="68"/>
      <c r="V54" s="68"/>
      <c r="W54" s="68"/>
      <c r="X54" s="68"/>
      <c r="Y54" s="68"/>
    </row>
    <row r="55" spans="2:27" x14ac:dyDescent="0.35">
      <c r="C55" s="88"/>
    </row>
    <row r="56" spans="2:27" x14ac:dyDescent="0.35">
      <c r="B56" s="30" t="s">
        <v>231</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35">
      <c r="D57"/>
      <c r="E57"/>
    </row>
    <row r="58" spans="2:27" x14ac:dyDescent="0.35">
      <c r="D58"/>
      <c r="E58" t="s">
        <v>232</v>
      </c>
      <c r="G58" s="6" t="s">
        <v>55</v>
      </c>
      <c r="H58" s="103">
        <f t="array" ref="H58">SUM(IF(ISERROR(H25:Y54), 1))</f>
        <v>0</v>
      </c>
    </row>
    <row r="59" spans="2:27" x14ac:dyDescent="0.35">
      <c r="D59"/>
      <c r="E59"/>
    </row>
    <row r="60" spans="2:27" x14ac:dyDescent="0.35">
      <c r="B60" s="30" t="s">
        <v>106</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16384" width="8.7265625" hidden="1"/>
  </cols>
  <sheetData>
    <row r="1" spans="1:23" s="1" customFormat="1" x14ac:dyDescent="0.35">
      <c r="A1" s="1" t="str">
        <f ca="1">MID(CELL("filename",A1),FIND("]",CELL("filename",A1))+1,255)</f>
        <v>Load &amp; loss characteristics</v>
      </c>
    </row>
    <row r="2" spans="1:23" s="1" customFormat="1" x14ac:dyDescent="0.35">
      <c r="A2" s="1" t="str">
        <f>Cover!D21&amp;" - "&amp;Cover!D23</f>
        <v>Scottish Hydro Electric Power Distribution plc - Final_V1.1 (Updated 31-01-22)</v>
      </c>
    </row>
    <row r="3" spans="1:23" s="5" customFormat="1" x14ac:dyDescent="0.35">
      <c r="A3" s="5" t="str">
        <f>Cover!D2&amp;" - "&amp;Cover!D8&amp;" v"&amp;Cover!D10&amp;" - "&amp;Cover!D19</f>
        <v>CDCM charging model - Release for charge setting v7 - 2022/23</v>
      </c>
    </row>
    <row r="4" spans="1:23" x14ac:dyDescent="0.35">
      <c r="A4" s="12" t="str">
        <f>H183 &amp; IF(H183 = 1, " issue", " issues") &amp;" identified in checks on this sheet"</f>
        <v>0 issues identified in checks on this sheet</v>
      </c>
      <c r="B4" s="13"/>
      <c r="C4" s="13"/>
      <c r="D4" s="13"/>
      <c r="E4" s="13"/>
      <c r="F4" s="13"/>
      <c r="G4" s="13"/>
      <c r="H4" s="14"/>
      <c r="I4" s="14"/>
      <c r="J4" s="13"/>
    </row>
    <row r="5" spans="1:23" x14ac:dyDescent="0.35">
      <c r="B5" s="59" t="s">
        <v>142</v>
      </c>
      <c r="C5" s="60"/>
      <c r="D5" s="60"/>
      <c r="E5" s="60"/>
      <c r="F5" s="60"/>
      <c r="G5" s="61" t="s">
        <v>143</v>
      </c>
      <c r="H5" s="62" t="s">
        <v>144</v>
      </c>
      <c r="I5" s="113"/>
      <c r="J5" s="114"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35">
      <c r="H6" s="3"/>
      <c r="I6" s="29"/>
      <c r="J6" s="3"/>
      <c r="K6" s="3"/>
      <c r="L6" s="3"/>
      <c r="M6" s="3"/>
      <c r="N6" s="3"/>
      <c r="O6" s="3"/>
      <c r="P6" s="3"/>
      <c r="Q6" s="3"/>
      <c r="R6" s="3"/>
      <c r="S6" s="3"/>
      <c r="T6" s="3"/>
      <c r="U6" s="3"/>
      <c r="W6" s="3"/>
    </row>
    <row r="7" spans="1:23" x14ac:dyDescent="0.35">
      <c r="B7" s="30" t="s">
        <v>10</v>
      </c>
      <c r="C7" s="30"/>
      <c r="D7" s="30"/>
      <c r="E7" s="30"/>
      <c r="F7" s="30"/>
      <c r="G7" s="30"/>
      <c r="H7" s="30"/>
      <c r="I7" s="30"/>
      <c r="J7" s="30"/>
      <c r="K7" s="30"/>
      <c r="L7" s="30"/>
      <c r="M7" s="30"/>
      <c r="N7" s="30"/>
      <c r="O7" s="30"/>
      <c r="P7" s="30"/>
      <c r="Q7" s="30"/>
      <c r="R7" s="30"/>
      <c r="S7" s="30"/>
      <c r="T7" s="30"/>
      <c r="U7" s="30"/>
      <c r="V7" s="30"/>
      <c r="W7" s="30"/>
    </row>
    <row r="9" spans="1:23" x14ac:dyDescent="0.35">
      <c r="C9" s="29" t="s">
        <v>382</v>
      </c>
    </row>
    <row r="10" spans="1:23" x14ac:dyDescent="0.35">
      <c r="C10" s="29" t="s">
        <v>383</v>
      </c>
    </row>
    <row r="11" spans="1:23" x14ac:dyDescent="0.35">
      <c r="C11" s="29" t="s">
        <v>384</v>
      </c>
    </row>
    <row r="13" spans="1:23" x14ac:dyDescent="0.35">
      <c r="B13" s="30" t="s">
        <v>385</v>
      </c>
      <c r="C13" s="30"/>
      <c r="D13" s="30"/>
      <c r="E13" s="30"/>
      <c r="F13" s="30"/>
      <c r="G13" s="30"/>
      <c r="H13" s="30"/>
      <c r="I13" s="30"/>
      <c r="J13" s="30"/>
      <c r="K13" s="30"/>
      <c r="L13" s="30"/>
      <c r="M13" s="30"/>
      <c r="N13" s="30"/>
      <c r="O13" s="30"/>
      <c r="P13" s="30"/>
      <c r="Q13" s="30"/>
      <c r="R13" s="30"/>
      <c r="S13" s="30"/>
      <c r="T13" s="30"/>
      <c r="U13" s="30"/>
      <c r="V13" s="30"/>
      <c r="W13" s="30"/>
    </row>
    <row r="14" spans="1:23" x14ac:dyDescent="0.35">
      <c r="H14" s="3"/>
      <c r="I14" s="3"/>
      <c r="J14" s="3"/>
      <c r="K14" s="3"/>
      <c r="L14" s="3"/>
      <c r="M14" s="3"/>
      <c r="N14" s="3"/>
      <c r="O14" s="3"/>
      <c r="P14" s="3"/>
      <c r="Q14" s="3"/>
      <c r="R14" s="3"/>
      <c r="S14" s="3"/>
      <c r="T14" s="3"/>
      <c r="U14" s="3"/>
      <c r="W14" s="3"/>
    </row>
    <row r="15" spans="1:23" x14ac:dyDescent="0.35">
      <c r="C15" s="29" t="s">
        <v>386</v>
      </c>
      <c r="H15" s="3"/>
      <c r="I15" s="3"/>
      <c r="J15" s="3"/>
      <c r="K15" s="3"/>
      <c r="L15" s="3"/>
      <c r="M15" s="3"/>
      <c r="N15" s="3"/>
      <c r="O15" s="3"/>
      <c r="P15" s="3"/>
      <c r="Q15" s="3"/>
      <c r="R15" s="3"/>
      <c r="S15" s="3"/>
      <c r="T15" s="3"/>
      <c r="U15" s="3"/>
      <c r="W15" s="3"/>
    </row>
    <row r="16" spans="1:23" x14ac:dyDescent="0.35">
      <c r="H16" s="3"/>
      <c r="I16" s="3"/>
      <c r="J16" s="3"/>
      <c r="K16" s="3"/>
      <c r="L16" s="3"/>
      <c r="M16" s="3"/>
      <c r="N16" s="3"/>
      <c r="O16" s="3"/>
      <c r="P16" s="3"/>
      <c r="Q16" s="3"/>
      <c r="R16" s="3"/>
      <c r="S16" s="3"/>
      <c r="T16" s="3"/>
      <c r="U16" s="3"/>
      <c r="W16" s="3"/>
    </row>
    <row r="17" spans="2:23" x14ac:dyDescent="0.3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35">
      <c r="H18" s="3"/>
      <c r="I18" s="3"/>
      <c r="J18" s="3"/>
      <c r="K18" s="3"/>
      <c r="L18" s="3"/>
      <c r="M18" s="3"/>
      <c r="N18" s="3"/>
      <c r="O18" s="3"/>
      <c r="P18" s="3"/>
      <c r="Q18" s="3"/>
      <c r="R18" s="3"/>
      <c r="S18" s="3"/>
      <c r="T18" s="3"/>
      <c r="U18" s="3"/>
      <c r="W18" s="3"/>
    </row>
    <row r="19" spans="2:23" x14ac:dyDescent="0.35">
      <c r="E19" t="s">
        <v>387</v>
      </c>
      <c r="F19" s="115"/>
      <c r="G19" s="13" t="s">
        <v>167</v>
      </c>
      <c r="H19" s="3"/>
      <c r="I19" s="3"/>
      <c r="J19" s="94"/>
      <c r="K19" s="116">
        <f>'Inputs by network level'!K15</f>
        <v>6.8000000000000005E-2</v>
      </c>
      <c r="L19" s="116">
        <f>'Inputs by network level'!L15</f>
        <v>0</v>
      </c>
      <c r="M19" s="94"/>
      <c r="N19" s="116">
        <f>'Inputs by network level'!N15</f>
        <v>7.4999999999999997E-2</v>
      </c>
      <c r="O19" s="94"/>
      <c r="P19" s="94"/>
      <c r="Q19" s="116">
        <f>'Inputs by network level'!Q15</f>
        <v>0.61099999999999999</v>
      </c>
      <c r="R19" s="94"/>
      <c r="S19" s="94"/>
      <c r="T19" s="66"/>
      <c r="U19" s="66"/>
    </row>
    <row r="20" spans="2:23" x14ac:dyDescent="0.35">
      <c r="E20" t="s">
        <v>243</v>
      </c>
      <c r="F20" s="115"/>
      <c r="G20" s="13" t="s">
        <v>167</v>
      </c>
      <c r="H20" s="3"/>
      <c r="I20" s="3"/>
      <c r="J20" s="117">
        <f t="shared" ref="J20" si="0">IF(I20 = "", 1, I20 / (1 + J19))</f>
        <v>1</v>
      </c>
      <c r="K20" s="117">
        <f>IF(J20 = "", 1, J20 / (1 + K19))</f>
        <v>0.93632958801498123</v>
      </c>
      <c r="L20" s="117">
        <f t="shared" ref="L20:S20" si="1">IF(K20 = "", 1, K20 / (1 + L19))</f>
        <v>0.93632958801498123</v>
      </c>
      <c r="M20" s="117">
        <f t="shared" si="1"/>
        <v>0.93632958801498123</v>
      </c>
      <c r="N20" s="117">
        <f t="shared" si="1"/>
        <v>0.87100426792091279</v>
      </c>
      <c r="O20" s="117">
        <f t="shared" si="1"/>
        <v>0.87100426792091279</v>
      </c>
      <c r="P20" s="117">
        <f t="shared" si="1"/>
        <v>0.87100426792091279</v>
      </c>
      <c r="Q20" s="117">
        <f t="shared" si="1"/>
        <v>0.54066062564923201</v>
      </c>
      <c r="R20" s="117">
        <f t="shared" si="1"/>
        <v>0.54066062564923201</v>
      </c>
      <c r="S20" s="117">
        <f t="shared" si="1"/>
        <v>0.54066062564923201</v>
      </c>
      <c r="T20" s="66"/>
      <c r="U20" s="66"/>
    </row>
    <row r="21" spans="2:23" x14ac:dyDescent="0.35">
      <c r="E21" t="s">
        <v>388</v>
      </c>
      <c r="F21" s="115"/>
      <c r="G21" s="13" t="s">
        <v>167</v>
      </c>
      <c r="H21" s="3"/>
      <c r="I21" s="3"/>
      <c r="J21" s="117">
        <f>1 / J20 - 1</f>
        <v>0</v>
      </c>
      <c r="K21" s="117">
        <f t="shared" ref="K21:S21" si="2">1 / K20 - 1</f>
        <v>6.800000000000006E-2</v>
      </c>
      <c r="L21" s="117">
        <f t="shared" si="2"/>
        <v>6.800000000000006E-2</v>
      </c>
      <c r="M21" s="117">
        <f t="shared" si="2"/>
        <v>6.800000000000006E-2</v>
      </c>
      <c r="N21" s="117">
        <f t="shared" si="2"/>
        <v>0.14810000000000012</v>
      </c>
      <c r="O21" s="117">
        <f t="shared" si="2"/>
        <v>0.14810000000000012</v>
      </c>
      <c r="P21" s="117">
        <f t="shared" si="2"/>
        <v>0.14810000000000012</v>
      </c>
      <c r="Q21" s="117">
        <f t="shared" si="2"/>
        <v>0.84958910000000021</v>
      </c>
      <c r="R21" s="117">
        <f t="shared" si="2"/>
        <v>0.84958910000000021</v>
      </c>
      <c r="S21" s="117">
        <f t="shared" si="2"/>
        <v>0.84958910000000021</v>
      </c>
      <c r="T21" s="66"/>
      <c r="U21" s="66"/>
    </row>
    <row r="22" spans="2:23" x14ac:dyDescent="0.35">
      <c r="E22" t="s">
        <v>389</v>
      </c>
      <c r="F22" s="115"/>
      <c r="G22" s="13" t="s">
        <v>167</v>
      </c>
      <c r="H22" s="3"/>
      <c r="I22" s="3"/>
      <c r="J22" s="94"/>
      <c r="K22" s="94"/>
      <c r="L22" s="94"/>
      <c r="M22" s="94"/>
      <c r="N22" s="94"/>
      <c r="O22" s="94"/>
      <c r="P22" s="117">
        <f>M21</f>
        <v>6.800000000000006E-2</v>
      </c>
      <c r="Q22" s="94"/>
      <c r="R22" s="94"/>
      <c r="S22" s="94"/>
      <c r="T22" s="66"/>
      <c r="U22" s="66"/>
    </row>
    <row r="23" spans="2:23" x14ac:dyDescent="0.35">
      <c r="E23" t="s">
        <v>390</v>
      </c>
      <c r="F23" s="115"/>
      <c r="G23" s="13" t="s">
        <v>167</v>
      </c>
      <c r="H23" s="3"/>
      <c r="I23" s="3" t="s">
        <v>154</v>
      </c>
      <c r="J23" s="118">
        <f t="shared" ref="J23:S23" si="3">IF(J22 = "", J21, J22)</f>
        <v>0</v>
      </c>
      <c r="K23" s="118">
        <f t="shared" si="3"/>
        <v>6.800000000000006E-2</v>
      </c>
      <c r="L23" s="118">
        <f t="shared" si="3"/>
        <v>6.800000000000006E-2</v>
      </c>
      <c r="M23" s="118">
        <f t="shared" si="3"/>
        <v>6.800000000000006E-2</v>
      </c>
      <c r="N23" s="118">
        <f t="shared" si="3"/>
        <v>0.14810000000000012</v>
      </c>
      <c r="O23" s="118">
        <f t="shared" si="3"/>
        <v>0.14810000000000012</v>
      </c>
      <c r="P23" s="118">
        <f t="shared" si="3"/>
        <v>6.800000000000006E-2</v>
      </c>
      <c r="Q23" s="118">
        <f t="shared" si="3"/>
        <v>0.84958910000000021</v>
      </c>
      <c r="R23" s="118">
        <f t="shared" si="3"/>
        <v>0.84958910000000021</v>
      </c>
      <c r="S23" s="118">
        <f t="shared" si="3"/>
        <v>0.84958910000000021</v>
      </c>
      <c r="T23" s="66"/>
      <c r="U23" s="66"/>
      <c r="W23" s="63" t="s">
        <v>391</v>
      </c>
    </row>
    <row r="24" spans="2:23" x14ac:dyDescent="0.35">
      <c r="F24" s="115"/>
      <c r="G24" s="13"/>
      <c r="H24" s="3"/>
      <c r="I24" s="3"/>
      <c r="J24" s="117"/>
      <c r="K24" s="117"/>
      <c r="L24" s="117"/>
      <c r="M24" s="117"/>
      <c r="N24" s="117"/>
      <c r="O24" s="117"/>
      <c r="P24" s="117"/>
      <c r="Q24" s="117"/>
      <c r="R24" s="117"/>
      <c r="S24" s="117"/>
      <c r="T24" s="3"/>
      <c r="U24" s="3"/>
    </row>
    <row r="25" spans="2:23" x14ac:dyDescent="0.3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35">
      <c r="H26" s="3"/>
      <c r="I26" s="3"/>
      <c r="J26" s="3"/>
      <c r="K26" s="3"/>
      <c r="L26" s="3"/>
      <c r="M26" s="3"/>
      <c r="N26" s="3"/>
      <c r="O26" s="3"/>
      <c r="P26" s="3"/>
      <c r="Q26" s="3"/>
      <c r="R26" s="3"/>
      <c r="S26" s="3"/>
      <c r="T26" s="3"/>
      <c r="U26" s="3"/>
      <c r="W26" s="3"/>
    </row>
    <row r="27" spans="2:23" x14ac:dyDescent="0.35">
      <c r="E27" t="s">
        <v>392</v>
      </c>
      <c r="F27" s="119"/>
      <c r="G27" s="72" t="s">
        <v>283</v>
      </c>
      <c r="H27" s="3"/>
      <c r="I27" s="3"/>
      <c r="J27" s="79"/>
      <c r="K27" s="120">
        <f>'Inputs by network level'!K19</f>
        <v>1</v>
      </c>
      <c r="L27" s="120">
        <f>'Inputs by network level'!L19</f>
        <v>1</v>
      </c>
      <c r="M27" s="120">
        <f>'Inputs by network level'!M19</f>
        <v>1</v>
      </c>
      <c r="N27" s="120">
        <f>'Inputs by network level'!N19</f>
        <v>1.0149999999999999</v>
      </c>
      <c r="O27" s="120">
        <f>'Inputs by network level'!O19</f>
        <v>1.028</v>
      </c>
      <c r="P27" s="79"/>
      <c r="Q27" s="120">
        <f>'Inputs by network level'!Q19</f>
        <v>1.0369999999999999</v>
      </c>
      <c r="R27" s="120">
        <f>'Inputs by network level'!R19</f>
        <v>1.0609999999999999</v>
      </c>
      <c r="S27" s="120">
        <f>'Inputs by network level'!S19</f>
        <v>1.099</v>
      </c>
      <c r="T27" s="79"/>
      <c r="U27" s="79"/>
    </row>
    <row r="28" spans="2:23" x14ac:dyDescent="0.35">
      <c r="E28" t="s">
        <v>393</v>
      </c>
      <c r="F28" s="119"/>
      <c r="G28" s="72" t="s">
        <v>283</v>
      </c>
      <c r="H28" s="3"/>
      <c r="I28" s="3"/>
      <c r="J28" s="98">
        <f>K27</f>
        <v>1</v>
      </c>
      <c r="K28" s="79"/>
      <c r="L28" s="79"/>
      <c r="M28" s="79"/>
      <c r="N28" s="79"/>
      <c r="O28" s="79"/>
      <c r="P28" s="98">
        <f>O27</f>
        <v>1.028</v>
      </c>
      <c r="Q28" s="79"/>
      <c r="R28" s="79"/>
      <c r="S28" s="79"/>
      <c r="T28" s="79"/>
      <c r="U28" s="79"/>
    </row>
    <row r="29" spans="2:23" x14ac:dyDescent="0.35">
      <c r="E29" t="s">
        <v>394</v>
      </c>
      <c r="F29" s="119"/>
      <c r="G29" s="72" t="s">
        <v>283</v>
      </c>
      <c r="H29" s="3"/>
      <c r="I29" s="3" t="s">
        <v>154</v>
      </c>
      <c r="J29" s="121">
        <f t="shared" ref="J29:S29" si="4">J27 + J28</f>
        <v>1</v>
      </c>
      <c r="K29" s="121">
        <f t="shared" si="4"/>
        <v>1</v>
      </c>
      <c r="L29" s="121">
        <f t="shared" si="4"/>
        <v>1</v>
      </c>
      <c r="M29" s="121">
        <f t="shared" si="4"/>
        <v>1</v>
      </c>
      <c r="N29" s="121">
        <f t="shared" si="4"/>
        <v>1.0149999999999999</v>
      </c>
      <c r="O29" s="121">
        <f t="shared" si="4"/>
        <v>1.028</v>
      </c>
      <c r="P29" s="121">
        <f t="shared" si="4"/>
        <v>1.028</v>
      </c>
      <c r="Q29" s="121">
        <f t="shared" si="4"/>
        <v>1.0369999999999999</v>
      </c>
      <c r="R29" s="121">
        <f t="shared" si="4"/>
        <v>1.0609999999999999</v>
      </c>
      <c r="S29" s="121">
        <f t="shared" si="4"/>
        <v>1.099</v>
      </c>
      <c r="T29" s="79"/>
      <c r="U29" s="79"/>
      <c r="W29" s="63" t="s">
        <v>284</v>
      </c>
    </row>
    <row r="30" spans="2:23" x14ac:dyDescent="0.35">
      <c r="F30" s="115"/>
      <c r="G30" s="13"/>
      <c r="H30" s="3"/>
      <c r="I30" s="3"/>
      <c r="J30" s="3"/>
      <c r="K30" s="3"/>
      <c r="L30" s="3"/>
      <c r="M30" s="3"/>
      <c r="N30" s="3"/>
      <c r="O30" s="3"/>
      <c r="Q30" s="3"/>
      <c r="R30" s="3"/>
      <c r="S30" s="3"/>
      <c r="T30" s="3"/>
      <c r="U30" s="3"/>
    </row>
    <row r="31" spans="2:23" x14ac:dyDescent="0.35">
      <c r="B31" s="30" t="s">
        <v>395</v>
      </c>
      <c r="C31" s="30"/>
      <c r="D31" s="30"/>
      <c r="E31" s="30"/>
      <c r="F31" s="30"/>
      <c r="G31" s="92"/>
      <c r="H31" s="30"/>
      <c r="I31" s="30"/>
      <c r="J31" s="30"/>
      <c r="K31" s="30"/>
      <c r="L31" s="30"/>
      <c r="M31" s="30"/>
      <c r="N31" s="30"/>
      <c r="O31" s="30"/>
      <c r="P31" s="30"/>
      <c r="Q31" s="30"/>
      <c r="R31" s="30"/>
      <c r="S31" s="30"/>
      <c r="T31" s="30"/>
      <c r="U31" s="30"/>
      <c r="V31" s="30"/>
      <c r="W31" s="30"/>
    </row>
    <row r="32" spans="2:23" x14ac:dyDescent="0.35">
      <c r="F32" s="115"/>
      <c r="G32" s="13"/>
      <c r="H32" s="3"/>
      <c r="I32" s="3"/>
      <c r="J32" s="3"/>
      <c r="K32" s="3"/>
      <c r="L32" s="3"/>
      <c r="M32" s="3"/>
      <c r="N32" s="3"/>
      <c r="O32" s="3"/>
      <c r="Q32" s="3"/>
      <c r="R32" s="3"/>
      <c r="S32" s="3"/>
      <c r="T32" s="3"/>
      <c r="U32" s="3"/>
    </row>
    <row r="33" spans="3:23" x14ac:dyDescent="0.35">
      <c r="C33" s="29" t="s">
        <v>396</v>
      </c>
      <c r="F33" s="115"/>
      <c r="G33" s="13"/>
      <c r="H33" s="3"/>
      <c r="I33" s="3"/>
      <c r="J33" s="3"/>
      <c r="K33" s="3"/>
      <c r="L33" s="3"/>
      <c r="M33" s="3"/>
      <c r="N33" s="3"/>
      <c r="O33" s="3"/>
      <c r="Q33" s="3"/>
      <c r="R33" s="3"/>
      <c r="S33" s="3"/>
      <c r="T33" s="3"/>
      <c r="U33" s="3"/>
    </row>
    <row r="34" spans="3:23" x14ac:dyDescent="0.35">
      <c r="F34" s="115"/>
      <c r="G34" s="13"/>
      <c r="H34" s="3"/>
      <c r="I34" s="3"/>
      <c r="J34" s="3"/>
      <c r="K34" s="3"/>
      <c r="L34" s="3"/>
      <c r="M34" s="3"/>
      <c r="N34" s="3"/>
      <c r="O34" s="3"/>
      <c r="Q34" s="3"/>
      <c r="R34" s="3"/>
      <c r="S34" s="3"/>
      <c r="T34" s="3"/>
      <c r="U34" s="3"/>
    </row>
    <row r="35" spans="3:23" x14ac:dyDescent="0.3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35">
      <c r="H36" s="3"/>
      <c r="I36" s="3"/>
      <c r="J36" s="3"/>
      <c r="K36" s="3"/>
      <c r="L36" s="3"/>
      <c r="M36" s="3"/>
      <c r="N36" s="3"/>
      <c r="O36" s="3"/>
      <c r="P36" s="3"/>
      <c r="Q36" s="3"/>
      <c r="R36" s="3"/>
      <c r="S36" s="3"/>
      <c r="T36" s="3"/>
      <c r="U36" s="3"/>
      <c r="W36" s="3"/>
    </row>
    <row r="37" spans="3:23" x14ac:dyDescent="0.35">
      <c r="E37" t="s">
        <v>196</v>
      </c>
      <c r="F37" s="28"/>
      <c r="G37" s="72" t="s">
        <v>167</v>
      </c>
      <c r="H37" s="116">
        <f>'Inputs by network level'!P17</f>
        <v>0</v>
      </c>
      <c r="I37" s="3"/>
    </row>
    <row r="38" spans="3:23" x14ac:dyDescent="0.35">
      <c r="E38" t="s">
        <v>397</v>
      </c>
      <c r="F38" s="115"/>
      <c r="G38" s="13" t="s">
        <v>167</v>
      </c>
      <c r="H38" s="3"/>
      <c r="I38" s="3"/>
      <c r="J38" s="66"/>
      <c r="K38" s="66"/>
      <c r="L38" s="66"/>
      <c r="M38" s="122">
        <f>1 - $H$37</f>
        <v>1</v>
      </c>
      <c r="N38" s="122">
        <f>1 - $H$37</f>
        <v>1</v>
      </c>
      <c r="O38" s="122">
        <f>1 - $H$37</f>
        <v>1</v>
      </c>
      <c r="P38" s="123">
        <f>H37</f>
        <v>0</v>
      </c>
      <c r="Q38" s="66"/>
      <c r="R38" s="66"/>
      <c r="S38" s="66"/>
      <c r="T38" s="66"/>
      <c r="U38" s="66"/>
    </row>
    <row r="39" spans="3:23" x14ac:dyDescent="0.35">
      <c r="F39" s="115"/>
      <c r="G39" s="13"/>
      <c r="H39" s="3"/>
      <c r="I39" s="3"/>
      <c r="J39" s="3"/>
      <c r="K39" s="3"/>
      <c r="L39" s="3"/>
      <c r="M39" s="3"/>
      <c r="N39" s="3"/>
      <c r="O39" s="3"/>
      <c r="Q39" s="3"/>
      <c r="R39" s="3"/>
      <c r="S39" s="3"/>
      <c r="T39" s="3"/>
      <c r="U39" s="3"/>
    </row>
    <row r="40" spans="3:23" x14ac:dyDescent="0.3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35">
      <c r="H41" s="3"/>
      <c r="I41" s="3"/>
      <c r="J41" s="3"/>
      <c r="K41" s="3"/>
      <c r="L41" s="3"/>
      <c r="M41" s="3"/>
      <c r="N41" s="3"/>
      <c r="O41" s="3"/>
      <c r="P41" s="3"/>
      <c r="Q41" s="3"/>
      <c r="R41" s="3"/>
      <c r="S41" s="3"/>
      <c r="T41" s="3"/>
      <c r="U41" s="3"/>
      <c r="W41" s="3"/>
    </row>
    <row r="42" spans="3:23" x14ac:dyDescent="0.35">
      <c r="D42" s="29" t="s">
        <v>398</v>
      </c>
      <c r="H42" s="3"/>
      <c r="I42" s="3"/>
      <c r="J42" s="3"/>
      <c r="K42" s="3"/>
      <c r="L42" s="3"/>
      <c r="M42" s="3"/>
      <c r="N42" s="3"/>
      <c r="O42" s="3"/>
      <c r="P42" s="3"/>
      <c r="Q42" s="3"/>
      <c r="R42" s="3"/>
      <c r="S42" s="3"/>
      <c r="T42" s="3"/>
      <c r="U42" s="3"/>
      <c r="W42" s="3"/>
    </row>
    <row r="43" spans="3:23" x14ac:dyDescent="0.35">
      <c r="D43" s="29"/>
      <c r="H43" s="3"/>
      <c r="I43" s="3"/>
      <c r="J43" s="3"/>
      <c r="K43" s="3"/>
      <c r="L43" s="3"/>
      <c r="M43" s="3"/>
      <c r="N43" s="3"/>
      <c r="O43" s="3"/>
      <c r="P43" s="3"/>
      <c r="Q43" s="3"/>
      <c r="R43" s="3"/>
      <c r="S43" s="3"/>
      <c r="T43" s="3"/>
      <c r="U43" s="3"/>
      <c r="W43" s="3"/>
    </row>
    <row r="44" spans="3:23" x14ac:dyDescent="0.35">
      <c r="E44" s="32" t="s">
        <v>187</v>
      </c>
      <c r="G44" s="13"/>
    </row>
    <row r="45" spans="3:23" x14ac:dyDescent="0.35">
      <c r="E45" s="29" t="s">
        <v>399</v>
      </c>
      <c r="G45" s="13"/>
    </row>
    <row r="46" spans="3:23" x14ac:dyDescent="0.35">
      <c r="F46" s="23" t="s">
        <v>829</v>
      </c>
      <c r="G46" s="78" t="s">
        <v>190</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35">
      <c r="F47" t="s">
        <v>831</v>
      </c>
      <c r="G47" s="72" t="s">
        <v>190</v>
      </c>
      <c r="J47" s="120">
        <v>1</v>
      </c>
      <c r="K47" s="120">
        <v>1</v>
      </c>
      <c r="L47" s="120">
        <v>1</v>
      </c>
      <c r="M47" s="120">
        <v>1</v>
      </c>
      <c r="N47" s="120">
        <v>1</v>
      </c>
      <c r="O47" s="120">
        <v>1</v>
      </c>
      <c r="P47" s="120">
        <v>1</v>
      </c>
      <c r="Q47" s="120">
        <v>1</v>
      </c>
      <c r="R47" s="120">
        <v>1</v>
      </c>
      <c r="S47" s="120">
        <v>1</v>
      </c>
      <c r="T47" s="79"/>
      <c r="U47" s="79"/>
    </row>
    <row r="48" spans="3:23" x14ac:dyDescent="0.35">
      <c r="F48" t="s">
        <v>830</v>
      </c>
      <c r="G48" s="72" t="s">
        <v>190</v>
      </c>
      <c r="J48" s="120">
        <v>1</v>
      </c>
      <c r="K48" s="120">
        <v>1</v>
      </c>
      <c r="L48" s="120">
        <v>1</v>
      </c>
      <c r="M48" s="120">
        <v>1</v>
      </c>
      <c r="N48" s="120">
        <v>1</v>
      </c>
      <c r="O48" s="120">
        <v>1</v>
      </c>
      <c r="P48" s="120">
        <v>1</v>
      </c>
      <c r="Q48" s="120">
        <v>1</v>
      </c>
      <c r="R48" s="120">
        <v>1</v>
      </c>
      <c r="S48" s="120">
        <v>1</v>
      </c>
      <c r="T48" s="79"/>
      <c r="U48" s="79"/>
    </row>
    <row r="49" spans="5:21" x14ac:dyDescent="0.35">
      <c r="F49" t="s">
        <v>832</v>
      </c>
      <c r="G49" s="72" t="s">
        <v>190</v>
      </c>
      <c r="J49" s="120">
        <v>1</v>
      </c>
      <c r="K49" s="120">
        <v>1</v>
      </c>
      <c r="L49" s="120">
        <v>1</v>
      </c>
      <c r="M49" s="120">
        <v>1</v>
      </c>
      <c r="N49" s="120">
        <v>1</v>
      </c>
      <c r="O49" s="120">
        <v>1</v>
      </c>
      <c r="P49" s="120">
        <v>1</v>
      </c>
      <c r="Q49" s="120">
        <v>1</v>
      </c>
      <c r="R49" s="120">
        <v>1</v>
      </c>
      <c r="S49" s="120">
        <v>1</v>
      </c>
      <c r="T49" s="79"/>
      <c r="U49" s="79"/>
    </row>
    <row r="50" spans="5:21" x14ac:dyDescent="0.35">
      <c r="F50" t="s">
        <v>838</v>
      </c>
      <c r="G50" s="72" t="s">
        <v>190</v>
      </c>
      <c r="J50" s="120">
        <v>1</v>
      </c>
      <c r="K50" s="120">
        <v>1</v>
      </c>
      <c r="L50" s="120">
        <v>1</v>
      </c>
      <c r="M50" s="120">
        <v>1</v>
      </c>
      <c r="N50" s="120">
        <v>1</v>
      </c>
      <c r="O50" s="120">
        <v>1</v>
      </c>
      <c r="P50" s="120">
        <v>1</v>
      </c>
      <c r="Q50" s="120">
        <v>1</v>
      </c>
      <c r="R50" s="120">
        <v>1</v>
      </c>
      <c r="S50" s="120">
        <v>1</v>
      </c>
      <c r="T50" s="79"/>
      <c r="U50" s="79"/>
    </row>
    <row r="51" spans="5:21" x14ac:dyDescent="0.35">
      <c r="F51" t="s">
        <v>839</v>
      </c>
      <c r="G51" s="72" t="s">
        <v>190</v>
      </c>
      <c r="J51" s="120">
        <v>1</v>
      </c>
      <c r="K51" s="120">
        <v>1</v>
      </c>
      <c r="L51" s="120">
        <v>1</v>
      </c>
      <c r="M51" s="120">
        <v>1</v>
      </c>
      <c r="N51" s="120">
        <v>1</v>
      </c>
      <c r="O51" s="120">
        <v>1</v>
      </c>
      <c r="P51" s="120">
        <v>1</v>
      </c>
      <c r="Q51" s="120">
        <v>1</v>
      </c>
      <c r="R51" s="120">
        <v>1</v>
      </c>
      <c r="S51" s="120">
        <v>0</v>
      </c>
      <c r="T51" s="79"/>
      <c r="U51" s="79"/>
    </row>
    <row r="52" spans="5:21" x14ac:dyDescent="0.35">
      <c r="F52" t="s">
        <v>840</v>
      </c>
      <c r="G52" s="72" t="s">
        <v>190</v>
      </c>
      <c r="J52" s="120">
        <v>1</v>
      </c>
      <c r="K52" s="120">
        <v>1</v>
      </c>
      <c r="L52" s="120">
        <v>1</v>
      </c>
      <c r="M52" s="120">
        <v>1</v>
      </c>
      <c r="N52" s="120">
        <v>1</v>
      </c>
      <c r="O52" s="120">
        <v>1</v>
      </c>
      <c r="P52" s="120">
        <v>1</v>
      </c>
      <c r="Q52" s="120">
        <v>1</v>
      </c>
      <c r="R52" s="120">
        <v>0</v>
      </c>
      <c r="S52" s="120">
        <v>0</v>
      </c>
      <c r="T52" s="79"/>
      <c r="U52" s="79"/>
    </row>
    <row r="53" spans="5:21" x14ac:dyDescent="0.35">
      <c r="F53" t="s">
        <v>841</v>
      </c>
      <c r="G53" s="72" t="s">
        <v>190</v>
      </c>
      <c r="J53" s="120">
        <v>1</v>
      </c>
      <c r="K53" s="120">
        <v>1</v>
      </c>
      <c r="L53" s="120">
        <v>1</v>
      </c>
      <c r="M53" s="120">
        <v>1</v>
      </c>
      <c r="N53" s="120">
        <v>1</v>
      </c>
      <c r="O53" s="120">
        <v>1</v>
      </c>
      <c r="P53" s="120">
        <v>1</v>
      </c>
      <c r="Q53" s="120">
        <v>1</v>
      </c>
      <c r="R53" s="120">
        <v>1</v>
      </c>
      <c r="S53" s="120">
        <v>1</v>
      </c>
      <c r="T53" s="79"/>
      <c r="U53" s="79"/>
    </row>
    <row r="54" spans="5:21" x14ac:dyDescent="0.35">
      <c r="F54" t="s">
        <v>833</v>
      </c>
      <c r="G54" s="72" t="s">
        <v>190</v>
      </c>
      <c r="J54" s="120">
        <v>-1</v>
      </c>
      <c r="K54" s="120">
        <v>-1</v>
      </c>
      <c r="L54" s="120">
        <v>-1</v>
      </c>
      <c r="M54" s="120">
        <v>-1</v>
      </c>
      <c r="N54" s="120">
        <v>-1</v>
      </c>
      <c r="O54" s="120">
        <v>-1</v>
      </c>
      <c r="P54" s="120">
        <v>-1</v>
      </c>
      <c r="Q54" s="120">
        <v>-1</v>
      </c>
      <c r="R54" s="120">
        <v>-1</v>
      </c>
      <c r="S54" s="120">
        <v>-1</v>
      </c>
      <c r="T54" s="79"/>
      <c r="U54" s="79"/>
    </row>
    <row r="55" spans="5:21" x14ac:dyDescent="0.35">
      <c r="F55" t="s">
        <v>834</v>
      </c>
      <c r="G55" s="72" t="s">
        <v>190</v>
      </c>
      <c r="J55" s="120">
        <v>-1</v>
      </c>
      <c r="K55" s="120">
        <v>-1</v>
      </c>
      <c r="L55" s="120">
        <v>-1</v>
      </c>
      <c r="M55" s="120">
        <v>-1</v>
      </c>
      <c r="N55" s="120">
        <v>-1</v>
      </c>
      <c r="O55" s="120">
        <v>-1</v>
      </c>
      <c r="P55" s="120">
        <v>-1</v>
      </c>
      <c r="Q55" s="120">
        <v>-1</v>
      </c>
      <c r="R55" s="120">
        <v>-1</v>
      </c>
      <c r="S55" s="120">
        <v>0</v>
      </c>
      <c r="T55" s="79"/>
      <c r="U55" s="79"/>
    </row>
    <row r="56" spans="5:21" x14ac:dyDescent="0.35">
      <c r="F56" t="s">
        <v>835</v>
      </c>
      <c r="G56" s="72" t="s">
        <v>190</v>
      </c>
      <c r="J56" s="120">
        <v>-1</v>
      </c>
      <c r="K56" s="120">
        <v>-1</v>
      </c>
      <c r="L56" s="120">
        <v>-1</v>
      </c>
      <c r="M56" s="120">
        <v>-1</v>
      </c>
      <c r="N56" s="120">
        <v>-1</v>
      </c>
      <c r="O56" s="120">
        <v>-1</v>
      </c>
      <c r="P56" s="120">
        <v>-1</v>
      </c>
      <c r="Q56" s="120">
        <v>-1</v>
      </c>
      <c r="R56" s="120">
        <v>-1</v>
      </c>
      <c r="S56" s="120">
        <v>-1</v>
      </c>
      <c r="T56" s="79"/>
      <c r="U56" s="79"/>
    </row>
    <row r="57" spans="5:21" x14ac:dyDescent="0.35">
      <c r="F57" t="s">
        <v>844</v>
      </c>
      <c r="G57" s="72" t="s">
        <v>190</v>
      </c>
      <c r="J57" s="120">
        <v>-1</v>
      </c>
      <c r="K57" s="120">
        <v>-1</v>
      </c>
      <c r="L57" s="120">
        <v>-1</v>
      </c>
      <c r="M57" s="120">
        <v>-1</v>
      </c>
      <c r="N57" s="120">
        <v>-1</v>
      </c>
      <c r="O57" s="120">
        <v>-1</v>
      </c>
      <c r="P57" s="120">
        <v>-1</v>
      </c>
      <c r="Q57" s="120">
        <v>-1</v>
      </c>
      <c r="R57" s="120">
        <v>-1</v>
      </c>
      <c r="S57" s="120">
        <v>-1</v>
      </c>
      <c r="T57" s="79"/>
      <c r="U57" s="79"/>
    </row>
    <row r="58" spans="5:21" x14ac:dyDescent="0.35">
      <c r="F58" t="s">
        <v>836</v>
      </c>
      <c r="G58" s="72" t="s">
        <v>190</v>
      </c>
      <c r="J58" s="120">
        <v>-1</v>
      </c>
      <c r="K58" s="120">
        <v>-1</v>
      </c>
      <c r="L58" s="120">
        <v>-1</v>
      </c>
      <c r="M58" s="120">
        <v>-1</v>
      </c>
      <c r="N58" s="120">
        <v>-1</v>
      </c>
      <c r="O58" s="120">
        <v>-1</v>
      </c>
      <c r="P58" s="120">
        <v>-1</v>
      </c>
      <c r="Q58" s="120">
        <v>-1</v>
      </c>
      <c r="R58" s="120">
        <v>-1</v>
      </c>
      <c r="S58" s="120">
        <v>0</v>
      </c>
      <c r="T58" s="79"/>
      <c r="U58" s="79"/>
    </row>
    <row r="59" spans="5:21" x14ac:dyDescent="0.35">
      <c r="F59" t="s">
        <v>843</v>
      </c>
      <c r="G59" s="72" t="s">
        <v>190</v>
      </c>
      <c r="J59" s="120">
        <v>-1</v>
      </c>
      <c r="K59" s="120">
        <v>-1</v>
      </c>
      <c r="L59" s="120">
        <v>-1</v>
      </c>
      <c r="M59" s="120">
        <v>-1</v>
      </c>
      <c r="N59" s="120">
        <v>-1</v>
      </c>
      <c r="O59" s="120">
        <v>-1</v>
      </c>
      <c r="P59" s="120">
        <v>-1</v>
      </c>
      <c r="Q59" s="120">
        <v>-1</v>
      </c>
      <c r="R59" s="120">
        <v>-1</v>
      </c>
      <c r="S59" s="120">
        <v>0</v>
      </c>
      <c r="T59" s="79"/>
      <c r="U59" s="79"/>
    </row>
    <row r="60" spans="5:21" x14ac:dyDescent="0.35">
      <c r="F60" t="s">
        <v>837</v>
      </c>
      <c r="G60" s="72" t="s">
        <v>190</v>
      </c>
      <c r="J60" s="120">
        <v>-1</v>
      </c>
      <c r="K60" s="120">
        <v>-1</v>
      </c>
      <c r="L60" s="120">
        <v>-1</v>
      </c>
      <c r="M60" s="120">
        <v>-1</v>
      </c>
      <c r="N60" s="120">
        <v>-1</v>
      </c>
      <c r="O60" s="120">
        <v>-1</v>
      </c>
      <c r="P60" s="120">
        <v>-1</v>
      </c>
      <c r="Q60" s="120">
        <v>-1</v>
      </c>
      <c r="R60" s="120">
        <v>0</v>
      </c>
      <c r="S60" s="120">
        <v>0</v>
      </c>
      <c r="T60" s="79"/>
      <c r="U60" s="79"/>
    </row>
    <row r="61" spans="5:21" x14ac:dyDescent="0.35">
      <c r="F61" s="37" t="s">
        <v>842</v>
      </c>
      <c r="G61" s="80" t="s">
        <v>190</v>
      </c>
      <c r="H61" s="37"/>
      <c r="I61" s="37"/>
      <c r="J61" s="125">
        <v>-1</v>
      </c>
      <c r="K61" s="125">
        <v>-1</v>
      </c>
      <c r="L61" s="125">
        <v>-1</v>
      </c>
      <c r="M61" s="125">
        <v>-1</v>
      </c>
      <c r="N61" s="125">
        <v>-1</v>
      </c>
      <c r="O61" s="125">
        <v>-1</v>
      </c>
      <c r="P61" s="125">
        <v>-1</v>
      </c>
      <c r="Q61" s="125">
        <v>-1</v>
      </c>
      <c r="R61" s="125">
        <v>0</v>
      </c>
      <c r="S61" s="125">
        <v>0</v>
      </c>
      <c r="T61" s="81"/>
      <c r="U61" s="81"/>
    </row>
    <row r="62" spans="5:21" x14ac:dyDescent="0.35">
      <c r="G62" s="13"/>
      <c r="J62" s="89"/>
      <c r="K62" s="89"/>
      <c r="L62" s="89"/>
      <c r="M62" s="89"/>
      <c r="N62" s="89"/>
      <c r="O62" s="89"/>
      <c r="P62" s="89"/>
      <c r="Q62" s="89"/>
      <c r="R62" s="89"/>
      <c r="S62" s="89"/>
      <c r="T62" s="89"/>
      <c r="U62" s="89"/>
    </row>
    <row r="63" spans="5:21" x14ac:dyDescent="0.35">
      <c r="E63" s="32" t="s">
        <v>400</v>
      </c>
      <c r="G63" s="13"/>
      <c r="J63" s="89"/>
      <c r="K63" s="89"/>
      <c r="L63" s="89"/>
      <c r="M63" s="89"/>
      <c r="N63" s="89"/>
      <c r="O63" s="89"/>
      <c r="P63" s="89"/>
      <c r="Q63" s="89"/>
      <c r="R63" s="89"/>
      <c r="S63" s="89"/>
      <c r="T63" s="89"/>
      <c r="U63" s="89"/>
    </row>
    <row r="64" spans="5:21" x14ac:dyDescent="0.35">
      <c r="E64" s="29" t="s">
        <v>401</v>
      </c>
      <c r="G64" s="13"/>
      <c r="J64" s="89"/>
      <c r="K64" s="89"/>
      <c r="L64" s="89"/>
      <c r="M64" s="89"/>
      <c r="N64" s="89"/>
      <c r="O64" s="89"/>
      <c r="P64" s="89"/>
      <c r="Q64" s="89"/>
      <c r="R64" s="89"/>
      <c r="S64" s="89"/>
      <c r="T64" s="89"/>
      <c r="U64" s="89"/>
    </row>
    <row r="65" spans="6:23" x14ac:dyDescent="0.35">
      <c r="F65" s="23" t="s">
        <v>829</v>
      </c>
      <c r="G65" s="78" t="s">
        <v>190</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35">
      <c r="F66" t="s">
        <v>831</v>
      </c>
      <c r="G66" s="72" t="s">
        <v>190</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35">
      <c r="F67" t="s">
        <v>830</v>
      </c>
      <c r="G67" s="72" t="s">
        <v>190</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35">
      <c r="F68" t="s">
        <v>832</v>
      </c>
      <c r="G68" s="72" t="s">
        <v>190</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35">
      <c r="F69" t="s">
        <v>838</v>
      </c>
      <c r="G69" s="72" t="s">
        <v>190</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35">
      <c r="F70" t="s">
        <v>839</v>
      </c>
      <c r="G70" s="72" t="s">
        <v>190</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35">
      <c r="F71" t="s">
        <v>840</v>
      </c>
      <c r="G71" s="72" t="s">
        <v>190</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35">
      <c r="F72" t="s">
        <v>841</v>
      </c>
      <c r="G72" s="72" t="s">
        <v>190</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35">
      <c r="F73" t="s">
        <v>833</v>
      </c>
      <c r="G73" s="72" t="s">
        <v>190</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35">
      <c r="F74" t="s">
        <v>834</v>
      </c>
      <c r="G74" s="72" t="s">
        <v>190</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35">
      <c r="F75" t="s">
        <v>835</v>
      </c>
      <c r="G75" s="72" t="s">
        <v>190</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35">
      <c r="F76" t="s">
        <v>844</v>
      </c>
      <c r="G76" s="72" t="s">
        <v>190</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35">
      <c r="F77" t="s">
        <v>836</v>
      </c>
      <c r="G77" s="72" t="s">
        <v>190</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35">
      <c r="F78" t="s">
        <v>843</v>
      </c>
      <c r="G78" s="72" t="s">
        <v>190</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35">
      <c r="F79" t="s">
        <v>837</v>
      </c>
      <c r="G79" s="72" t="s">
        <v>190</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35">
      <c r="F80" s="37" t="s">
        <v>842</v>
      </c>
      <c r="G80" s="80" t="s">
        <v>190</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35">
      <c r="G81" s="13"/>
      <c r="J81" s="89"/>
      <c r="K81" s="89"/>
      <c r="L81" s="89"/>
      <c r="M81" s="89"/>
      <c r="N81" s="89"/>
      <c r="O81" s="89"/>
      <c r="P81" s="89"/>
      <c r="Q81" s="89"/>
      <c r="R81" s="89"/>
      <c r="S81" s="89"/>
      <c r="T81" s="89"/>
      <c r="U81" s="89"/>
    </row>
    <row r="82" spans="5:23" x14ac:dyDescent="0.35">
      <c r="E82" s="32" t="s">
        <v>200</v>
      </c>
      <c r="G82" s="13"/>
      <c r="I82" t="s">
        <v>154</v>
      </c>
      <c r="J82" s="89"/>
      <c r="K82" s="89"/>
      <c r="L82" s="89"/>
      <c r="M82" s="89"/>
      <c r="N82" s="89"/>
      <c r="O82" s="89"/>
      <c r="P82" s="89"/>
      <c r="Q82" s="89"/>
      <c r="R82" s="89"/>
      <c r="S82" s="89"/>
      <c r="T82" s="89"/>
      <c r="U82" s="89"/>
      <c r="W82" s="3" t="s">
        <v>402</v>
      </c>
    </row>
    <row r="83" spans="5:23" x14ac:dyDescent="0.35">
      <c r="E83" s="29" t="s">
        <v>202</v>
      </c>
      <c r="G83" s="13"/>
      <c r="J83" s="89"/>
      <c r="K83" s="89"/>
      <c r="L83" s="89"/>
      <c r="M83" s="89"/>
      <c r="N83" s="89"/>
      <c r="O83" s="89"/>
      <c r="P83" s="89"/>
      <c r="Q83" s="89"/>
      <c r="R83" s="89"/>
      <c r="S83" s="89"/>
      <c r="T83" s="89"/>
      <c r="U83" s="89"/>
    </row>
    <row r="84" spans="5:23" x14ac:dyDescent="0.35">
      <c r="F84" s="23" t="s">
        <v>829</v>
      </c>
      <c r="G84" s="78" t="s">
        <v>176</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35">
      <c r="F85" t="s">
        <v>831</v>
      </c>
      <c r="G85" s="72" t="s">
        <v>176</v>
      </c>
      <c r="J85" s="120">
        <v>1</v>
      </c>
      <c r="K85" s="120">
        <v>1</v>
      </c>
      <c r="L85" s="120">
        <v>1</v>
      </c>
      <c r="M85" s="120">
        <v>1</v>
      </c>
      <c r="N85" s="120">
        <v>1</v>
      </c>
      <c r="O85" s="120">
        <v>1</v>
      </c>
      <c r="P85" s="120">
        <v>1</v>
      </c>
      <c r="Q85" s="120">
        <v>1</v>
      </c>
      <c r="R85" s="120">
        <v>1</v>
      </c>
      <c r="S85" s="120">
        <v>1</v>
      </c>
      <c r="T85" s="79"/>
      <c r="U85" s="79"/>
    </row>
    <row r="86" spans="5:23" x14ac:dyDescent="0.35">
      <c r="F86" t="s">
        <v>830</v>
      </c>
      <c r="G86" s="72" t="s">
        <v>176</v>
      </c>
      <c r="J86" s="120">
        <v>1</v>
      </c>
      <c r="K86" s="120">
        <v>1</v>
      </c>
      <c r="L86" s="120">
        <v>1</v>
      </c>
      <c r="M86" s="120">
        <v>1</v>
      </c>
      <c r="N86" s="120">
        <v>1</v>
      </c>
      <c r="O86" s="120">
        <v>1</v>
      </c>
      <c r="P86" s="120">
        <v>1</v>
      </c>
      <c r="Q86" s="120">
        <v>1</v>
      </c>
      <c r="R86" s="120">
        <v>1</v>
      </c>
      <c r="S86" s="120">
        <v>1</v>
      </c>
      <c r="T86" s="79"/>
      <c r="U86" s="79"/>
    </row>
    <row r="87" spans="5:23" x14ac:dyDescent="0.35">
      <c r="F87" t="s">
        <v>832</v>
      </c>
      <c r="G87" s="72" t="s">
        <v>176</v>
      </c>
      <c r="J87" s="120">
        <v>1</v>
      </c>
      <c r="K87" s="120">
        <v>1</v>
      </c>
      <c r="L87" s="120">
        <v>1</v>
      </c>
      <c r="M87" s="120">
        <v>1</v>
      </c>
      <c r="N87" s="120">
        <v>1</v>
      </c>
      <c r="O87" s="120">
        <v>1</v>
      </c>
      <c r="P87" s="120">
        <v>1</v>
      </c>
      <c r="Q87" s="120">
        <v>1</v>
      </c>
      <c r="R87" s="120">
        <v>1</v>
      </c>
      <c r="S87" s="120">
        <v>1</v>
      </c>
      <c r="T87" s="79"/>
      <c r="U87" s="79"/>
    </row>
    <row r="88" spans="5:23" x14ac:dyDescent="0.35">
      <c r="F88" t="s">
        <v>838</v>
      </c>
      <c r="G88" s="72" t="s">
        <v>176</v>
      </c>
      <c r="J88" s="120">
        <v>1</v>
      </c>
      <c r="K88" s="120">
        <v>1</v>
      </c>
      <c r="L88" s="120">
        <v>1</v>
      </c>
      <c r="M88" s="120">
        <v>1</v>
      </c>
      <c r="N88" s="120">
        <v>1</v>
      </c>
      <c r="O88" s="120">
        <v>1</v>
      </c>
      <c r="P88" s="120">
        <v>1</v>
      </c>
      <c r="Q88" s="120">
        <v>1</v>
      </c>
      <c r="R88" s="120">
        <v>1</v>
      </c>
      <c r="S88" s="120">
        <v>1</v>
      </c>
      <c r="T88" s="79"/>
      <c r="U88" s="79"/>
    </row>
    <row r="89" spans="5:23" x14ac:dyDescent="0.35">
      <c r="F89" t="s">
        <v>839</v>
      </c>
      <c r="G89" s="72" t="s">
        <v>176</v>
      </c>
      <c r="J89" s="120">
        <v>1</v>
      </c>
      <c r="K89" s="120">
        <v>1</v>
      </c>
      <c r="L89" s="120">
        <v>1</v>
      </c>
      <c r="M89" s="120">
        <v>1</v>
      </c>
      <c r="N89" s="120">
        <v>1</v>
      </c>
      <c r="O89" s="120">
        <v>1</v>
      </c>
      <c r="P89" s="120">
        <v>1</v>
      </c>
      <c r="Q89" s="120">
        <v>1</v>
      </c>
      <c r="R89" s="120">
        <v>1</v>
      </c>
      <c r="S89" s="120">
        <v>0</v>
      </c>
      <c r="T89" s="79"/>
      <c r="U89" s="79"/>
    </row>
    <row r="90" spans="5:23" x14ac:dyDescent="0.35">
      <c r="F90" t="s">
        <v>840</v>
      </c>
      <c r="G90" s="72" t="s">
        <v>176</v>
      </c>
      <c r="J90" s="120">
        <v>1</v>
      </c>
      <c r="K90" s="120">
        <v>1</v>
      </c>
      <c r="L90" s="120">
        <v>1</v>
      </c>
      <c r="M90" s="120">
        <v>1</v>
      </c>
      <c r="N90" s="120">
        <v>1</v>
      </c>
      <c r="O90" s="120">
        <v>1</v>
      </c>
      <c r="P90" s="120">
        <v>1</v>
      </c>
      <c r="Q90" s="120">
        <v>1</v>
      </c>
      <c r="R90" s="120">
        <v>0</v>
      </c>
      <c r="S90" s="120">
        <v>0</v>
      </c>
      <c r="T90" s="79"/>
      <c r="U90" s="79"/>
    </row>
    <row r="91" spans="5:23" x14ac:dyDescent="0.35">
      <c r="F91" t="s">
        <v>841</v>
      </c>
      <c r="G91" s="72" t="s">
        <v>176</v>
      </c>
      <c r="J91" s="120">
        <v>1</v>
      </c>
      <c r="K91" s="120">
        <v>1</v>
      </c>
      <c r="L91" s="120">
        <v>1</v>
      </c>
      <c r="M91" s="120">
        <v>1</v>
      </c>
      <c r="N91" s="120">
        <v>1</v>
      </c>
      <c r="O91" s="120">
        <v>1</v>
      </c>
      <c r="P91" s="120">
        <v>1</v>
      </c>
      <c r="Q91" s="120">
        <v>1</v>
      </c>
      <c r="R91" s="120">
        <v>1</v>
      </c>
      <c r="S91" s="120">
        <v>1</v>
      </c>
      <c r="T91" s="79"/>
      <c r="U91" s="79"/>
    </row>
    <row r="92" spans="5:23" x14ac:dyDescent="0.35">
      <c r="F92" t="s">
        <v>833</v>
      </c>
      <c r="G92" s="72" t="s">
        <v>176</v>
      </c>
      <c r="J92" s="120">
        <v>-1</v>
      </c>
      <c r="K92" s="120">
        <v>-1</v>
      </c>
      <c r="L92" s="120">
        <v>-1</v>
      </c>
      <c r="M92" s="120">
        <v>-1</v>
      </c>
      <c r="N92" s="120">
        <v>-1</v>
      </c>
      <c r="O92" s="120">
        <v>-1</v>
      </c>
      <c r="P92" s="120">
        <v>-1</v>
      </c>
      <c r="Q92" s="120">
        <v>-1</v>
      </c>
      <c r="R92" s="120">
        <v>-1</v>
      </c>
      <c r="S92" s="120">
        <v>0</v>
      </c>
      <c r="T92" s="79"/>
      <c r="U92" s="79"/>
    </row>
    <row r="93" spans="5:23" x14ac:dyDescent="0.35">
      <c r="F93" t="s">
        <v>834</v>
      </c>
      <c r="G93" s="72" t="s">
        <v>176</v>
      </c>
      <c r="J93" s="120">
        <v>-1</v>
      </c>
      <c r="K93" s="120">
        <v>-1</v>
      </c>
      <c r="L93" s="120">
        <v>-1</v>
      </c>
      <c r="M93" s="120">
        <v>-1</v>
      </c>
      <c r="N93" s="120">
        <v>-1</v>
      </c>
      <c r="O93" s="120">
        <v>-1</v>
      </c>
      <c r="P93" s="120">
        <v>-1</v>
      </c>
      <c r="Q93" s="120">
        <v>-1</v>
      </c>
      <c r="R93" s="120">
        <v>0</v>
      </c>
      <c r="S93" s="120">
        <v>0</v>
      </c>
      <c r="T93" s="79"/>
      <c r="U93" s="79"/>
    </row>
    <row r="94" spans="5:23" x14ac:dyDescent="0.35">
      <c r="F94" t="s">
        <v>835</v>
      </c>
      <c r="G94" s="72" t="s">
        <v>176</v>
      </c>
      <c r="J94" s="120">
        <v>-1</v>
      </c>
      <c r="K94" s="120">
        <v>-1</v>
      </c>
      <c r="L94" s="120">
        <v>-1</v>
      </c>
      <c r="M94" s="120">
        <v>-1</v>
      </c>
      <c r="N94" s="120">
        <v>-1</v>
      </c>
      <c r="O94" s="120">
        <v>-1</v>
      </c>
      <c r="P94" s="120">
        <v>-1</v>
      </c>
      <c r="Q94" s="120">
        <v>-1</v>
      </c>
      <c r="R94" s="120">
        <v>-1</v>
      </c>
      <c r="S94" s="120">
        <v>0</v>
      </c>
      <c r="T94" s="79"/>
      <c r="U94" s="79"/>
    </row>
    <row r="95" spans="5:23" x14ac:dyDescent="0.35">
      <c r="F95" t="s">
        <v>844</v>
      </c>
      <c r="G95" s="72" t="s">
        <v>176</v>
      </c>
      <c r="J95" s="120">
        <v>-1</v>
      </c>
      <c r="K95" s="120">
        <v>-1</v>
      </c>
      <c r="L95" s="120">
        <v>-1</v>
      </c>
      <c r="M95" s="120">
        <v>-1</v>
      </c>
      <c r="N95" s="120">
        <v>-1</v>
      </c>
      <c r="O95" s="120">
        <v>-1</v>
      </c>
      <c r="P95" s="120">
        <v>-1</v>
      </c>
      <c r="Q95" s="120">
        <v>-1</v>
      </c>
      <c r="R95" s="120">
        <v>-1</v>
      </c>
      <c r="S95" s="120">
        <v>0</v>
      </c>
      <c r="T95" s="79"/>
      <c r="U95" s="79"/>
    </row>
    <row r="96" spans="5:23" x14ac:dyDescent="0.35">
      <c r="F96" t="s">
        <v>836</v>
      </c>
      <c r="G96" s="72" t="s">
        <v>176</v>
      </c>
      <c r="J96" s="120">
        <v>-1</v>
      </c>
      <c r="K96" s="120">
        <v>-1</v>
      </c>
      <c r="L96" s="120">
        <v>-1</v>
      </c>
      <c r="M96" s="120">
        <v>-1</v>
      </c>
      <c r="N96" s="120">
        <v>-1</v>
      </c>
      <c r="O96" s="120">
        <v>-1</v>
      </c>
      <c r="P96" s="120">
        <v>-1</v>
      </c>
      <c r="Q96" s="120">
        <v>-1</v>
      </c>
      <c r="R96" s="120">
        <v>0</v>
      </c>
      <c r="S96" s="120">
        <v>0</v>
      </c>
      <c r="T96" s="79"/>
      <c r="U96" s="79"/>
    </row>
    <row r="97" spans="5:23" x14ac:dyDescent="0.35">
      <c r="F97" t="s">
        <v>843</v>
      </c>
      <c r="G97" s="72" t="s">
        <v>176</v>
      </c>
      <c r="J97" s="120">
        <v>-1</v>
      </c>
      <c r="K97" s="120">
        <v>-1</v>
      </c>
      <c r="L97" s="120">
        <v>-1</v>
      </c>
      <c r="M97" s="120">
        <v>-1</v>
      </c>
      <c r="N97" s="120">
        <v>-1</v>
      </c>
      <c r="O97" s="120">
        <v>-1</v>
      </c>
      <c r="P97" s="120">
        <v>-1</v>
      </c>
      <c r="Q97" s="120">
        <v>-1</v>
      </c>
      <c r="R97" s="120">
        <v>0</v>
      </c>
      <c r="S97" s="120">
        <v>0</v>
      </c>
      <c r="T97" s="79"/>
      <c r="U97" s="79"/>
    </row>
    <row r="98" spans="5:23" x14ac:dyDescent="0.35">
      <c r="F98" t="s">
        <v>837</v>
      </c>
      <c r="G98" s="72" t="s">
        <v>176</v>
      </c>
      <c r="J98" s="120">
        <v>-1</v>
      </c>
      <c r="K98" s="120">
        <v>-1</v>
      </c>
      <c r="L98" s="120">
        <v>-1</v>
      </c>
      <c r="M98" s="120">
        <v>-1</v>
      </c>
      <c r="N98" s="120">
        <v>-1</v>
      </c>
      <c r="O98" s="120">
        <v>-1</v>
      </c>
      <c r="P98" s="120">
        <v>-1</v>
      </c>
      <c r="Q98" s="120">
        <v>0</v>
      </c>
      <c r="R98" s="120">
        <v>0</v>
      </c>
      <c r="S98" s="120">
        <v>0</v>
      </c>
      <c r="T98" s="79"/>
      <c r="U98" s="79"/>
    </row>
    <row r="99" spans="5:23" x14ac:dyDescent="0.35">
      <c r="F99" s="37" t="s">
        <v>842</v>
      </c>
      <c r="G99" s="80" t="s">
        <v>176</v>
      </c>
      <c r="H99" s="37"/>
      <c r="I99" s="37"/>
      <c r="J99" s="125">
        <v>-1</v>
      </c>
      <c r="K99" s="125">
        <v>-1</v>
      </c>
      <c r="L99" s="125">
        <v>-1</v>
      </c>
      <c r="M99" s="125">
        <v>-1</v>
      </c>
      <c r="N99" s="125">
        <v>-1</v>
      </c>
      <c r="O99" s="125">
        <v>-1</v>
      </c>
      <c r="P99" s="125">
        <v>-1</v>
      </c>
      <c r="Q99" s="125">
        <v>0</v>
      </c>
      <c r="R99" s="125">
        <v>0</v>
      </c>
      <c r="S99" s="125">
        <v>0</v>
      </c>
      <c r="T99" s="81"/>
      <c r="U99" s="81"/>
    </row>
    <row r="100" spans="5:23" x14ac:dyDescent="0.35">
      <c r="G100" s="13"/>
      <c r="J100" s="89"/>
      <c r="K100" s="89"/>
      <c r="L100" s="89"/>
      <c r="M100" s="89"/>
      <c r="N100" s="89"/>
      <c r="O100" s="89"/>
      <c r="P100" s="89"/>
      <c r="Q100" s="89"/>
      <c r="R100" s="89"/>
      <c r="S100" s="89"/>
      <c r="T100" s="89"/>
      <c r="U100" s="89"/>
    </row>
    <row r="101" spans="5:23" x14ac:dyDescent="0.35">
      <c r="E101" s="32" t="s">
        <v>403</v>
      </c>
      <c r="G101" s="13"/>
      <c r="I101" t="s">
        <v>154</v>
      </c>
      <c r="J101" s="89"/>
      <c r="K101" s="89"/>
      <c r="L101" s="89"/>
      <c r="M101" s="89"/>
      <c r="N101" s="89"/>
      <c r="O101" s="89"/>
      <c r="P101" s="89"/>
      <c r="Q101" s="89"/>
      <c r="R101" s="89"/>
      <c r="S101" s="89"/>
      <c r="T101" s="89"/>
      <c r="U101" s="89"/>
      <c r="W101" s="3" t="s">
        <v>402</v>
      </c>
    </row>
    <row r="102" spans="5:23" x14ac:dyDescent="0.35">
      <c r="E102" s="29" t="s">
        <v>202</v>
      </c>
      <c r="G102" s="13"/>
      <c r="J102" s="89"/>
      <c r="K102" s="89"/>
      <c r="L102" s="89"/>
      <c r="M102" s="89"/>
      <c r="N102" s="89"/>
      <c r="O102" s="89"/>
      <c r="P102" s="89"/>
      <c r="Q102" s="89"/>
      <c r="R102" s="89"/>
      <c r="S102" s="89"/>
      <c r="T102" s="89"/>
      <c r="U102" s="89"/>
    </row>
    <row r="103" spans="5:23" x14ac:dyDescent="0.35">
      <c r="E103" s="29" t="s">
        <v>401</v>
      </c>
      <c r="G103" s="13"/>
      <c r="J103" s="89"/>
      <c r="K103" s="89"/>
      <c r="L103" s="89"/>
      <c r="M103" s="89"/>
      <c r="N103" s="89"/>
      <c r="O103" s="89"/>
      <c r="P103" s="89"/>
      <c r="Q103" s="89"/>
      <c r="R103" s="89"/>
      <c r="S103" s="89"/>
      <c r="T103" s="89"/>
      <c r="U103" s="89"/>
    </row>
    <row r="104" spans="5:23" x14ac:dyDescent="0.35">
      <c r="F104" s="23" t="s">
        <v>829</v>
      </c>
      <c r="G104" s="78" t="s">
        <v>176</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35">
      <c r="F105" t="s">
        <v>831</v>
      </c>
      <c r="G105" s="72" t="s">
        <v>176</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35">
      <c r="F106" t="s">
        <v>830</v>
      </c>
      <c r="G106" s="72" t="s">
        <v>176</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35">
      <c r="F107" t="s">
        <v>832</v>
      </c>
      <c r="G107" s="72" t="s">
        <v>176</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35">
      <c r="F108" t="s">
        <v>838</v>
      </c>
      <c r="G108" s="72" t="s">
        <v>176</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35">
      <c r="F109" t="s">
        <v>839</v>
      </c>
      <c r="G109" s="72" t="s">
        <v>176</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35">
      <c r="F110" t="s">
        <v>840</v>
      </c>
      <c r="G110" s="72" t="s">
        <v>176</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35">
      <c r="F111" t="s">
        <v>841</v>
      </c>
      <c r="G111" s="72" t="s">
        <v>176</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35">
      <c r="F112" t="s">
        <v>833</v>
      </c>
      <c r="G112" s="72" t="s">
        <v>176</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35">
      <c r="F113" t="s">
        <v>834</v>
      </c>
      <c r="G113" s="72" t="s">
        <v>176</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35">
      <c r="F114" t="s">
        <v>835</v>
      </c>
      <c r="G114" s="72" t="s">
        <v>176</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35">
      <c r="F115" t="s">
        <v>844</v>
      </c>
      <c r="G115" s="72" t="s">
        <v>176</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35">
      <c r="F116" t="s">
        <v>836</v>
      </c>
      <c r="G116" s="72" t="s">
        <v>176</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35">
      <c r="F117" t="s">
        <v>843</v>
      </c>
      <c r="G117" s="72" t="s">
        <v>176</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35">
      <c r="F118" t="s">
        <v>837</v>
      </c>
      <c r="G118" s="72" t="s">
        <v>176</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35">
      <c r="F119" s="37" t="s">
        <v>842</v>
      </c>
      <c r="G119" s="80" t="s">
        <v>176</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35">
      <c r="G120" s="13"/>
      <c r="J120" s="89"/>
      <c r="K120" s="89"/>
      <c r="L120" s="89"/>
      <c r="M120" s="89"/>
      <c r="N120" s="89"/>
      <c r="O120" s="89"/>
      <c r="P120" s="89"/>
      <c r="Q120" s="89"/>
      <c r="R120" s="89"/>
      <c r="S120" s="89"/>
      <c r="T120" s="89"/>
      <c r="U120" s="89"/>
    </row>
    <row r="121" spans="3:23" x14ac:dyDescent="0.3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35">
      <c r="H122" s="3"/>
      <c r="I122" s="3"/>
      <c r="J122" s="127"/>
      <c r="K122" s="127"/>
      <c r="L122" s="127"/>
      <c r="M122" s="127"/>
      <c r="N122" s="127"/>
      <c r="O122" s="127"/>
      <c r="P122" s="127"/>
      <c r="Q122" s="127"/>
      <c r="R122" s="127"/>
      <c r="S122" s="127"/>
      <c r="T122" s="127"/>
      <c r="U122" s="127"/>
      <c r="W122" s="3"/>
    </row>
    <row r="123" spans="3:23" x14ac:dyDescent="0.35">
      <c r="E123" s="32" t="s">
        <v>404</v>
      </c>
      <c r="G123" s="13"/>
      <c r="J123" s="89"/>
      <c r="K123" s="89"/>
      <c r="L123" s="89"/>
      <c r="M123" s="89"/>
      <c r="N123" s="89"/>
      <c r="O123" s="89"/>
      <c r="P123" s="89"/>
      <c r="Q123" s="89"/>
      <c r="R123" s="89"/>
      <c r="S123" s="89"/>
      <c r="T123" s="89"/>
      <c r="U123" s="89"/>
      <c r="W123" s="3"/>
    </row>
    <row r="124" spans="3:23" x14ac:dyDescent="0.35">
      <c r="E124" s="29" t="s">
        <v>405</v>
      </c>
      <c r="G124" s="13"/>
      <c r="J124" s="89"/>
      <c r="K124" s="89"/>
      <c r="L124" s="89"/>
      <c r="M124" s="89"/>
      <c r="N124" s="89"/>
      <c r="O124" s="89"/>
      <c r="P124" s="89"/>
      <c r="Q124" s="89"/>
      <c r="R124" s="89"/>
      <c r="S124" s="89"/>
      <c r="T124" s="89"/>
      <c r="U124" s="89"/>
    </row>
    <row r="125" spans="3:23" x14ac:dyDescent="0.35">
      <c r="E125" s="29" t="s">
        <v>406</v>
      </c>
      <c r="G125" s="13"/>
      <c r="H125" s="128" t="s">
        <v>407</v>
      </c>
      <c r="J125" s="89"/>
      <c r="K125" s="89"/>
      <c r="L125" s="89"/>
      <c r="M125" s="89"/>
      <c r="N125" s="89"/>
      <c r="O125" s="89"/>
      <c r="P125" s="89"/>
      <c r="Q125" s="89"/>
      <c r="R125" s="89"/>
      <c r="S125" s="89"/>
      <c r="T125" s="89"/>
      <c r="U125" s="89"/>
    </row>
    <row r="126" spans="3:23" x14ac:dyDescent="0.35">
      <c r="F126" s="23" t="s">
        <v>829</v>
      </c>
      <c r="G126" s="78" t="s">
        <v>283</v>
      </c>
      <c r="H126" s="126">
        <f t="shared" ref="H126:H141" si="37">MAX(J126:S126)</f>
        <v>1.099</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1.099</v>
      </c>
      <c r="T126" s="83"/>
      <c r="U126" s="83"/>
      <c r="W126" s="3"/>
    </row>
    <row r="127" spans="3:23" x14ac:dyDescent="0.35">
      <c r="F127" t="s">
        <v>831</v>
      </c>
      <c r="G127" s="72" t="s">
        <v>283</v>
      </c>
      <c r="H127" s="98">
        <f t="shared" si="37"/>
        <v>1.099</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1.099</v>
      </c>
      <c r="T127" s="79"/>
      <c r="U127" s="79"/>
      <c r="W127" s="3"/>
    </row>
    <row r="128" spans="3:23" x14ac:dyDescent="0.35">
      <c r="F128" t="s">
        <v>830</v>
      </c>
      <c r="G128" s="72" t="s">
        <v>283</v>
      </c>
      <c r="H128" s="98">
        <f t="shared" si="37"/>
        <v>1.099</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1.099</v>
      </c>
      <c r="T128" s="79"/>
      <c r="U128" s="79"/>
      <c r="W128" s="3"/>
    </row>
    <row r="129" spans="5:23" x14ac:dyDescent="0.35">
      <c r="F129" t="s">
        <v>832</v>
      </c>
      <c r="G129" s="72" t="s">
        <v>283</v>
      </c>
      <c r="H129" s="98">
        <f t="shared" si="37"/>
        <v>1.099</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1.099</v>
      </c>
      <c r="T129" s="79"/>
      <c r="U129" s="79"/>
    </row>
    <row r="130" spans="5:23" x14ac:dyDescent="0.35">
      <c r="F130" t="s">
        <v>838</v>
      </c>
      <c r="G130" s="72" t="s">
        <v>283</v>
      </c>
      <c r="H130" s="98">
        <f t="shared" si="37"/>
        <v>1.099</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1.099</v>
      </c>
      <c r="T130" s="79"/>
      <c r="U130" s="79"/>
    </row>
    <row r="131" spans="5:23" x14ac:dyDescent="0.35">
      <c r="F131" t="s">
        <v>839</v>
      </c>
      <c r="G131" s="72" t="s">
        <v>283</v>
      </c>
      <c r="H131" s="98">
        <f t="shared" si="37"/>
        <v>1.0609999999999999</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1.0609999999999999</v>
      </c>
      <c r="S131" s="98">
        <f>OR(SUM(S70:$S70) = 1, SUM(S70:$S70) = -1) * S$29</f>
        <v>0</v>
      </c>
      <c r="T131" s="79"/>
      <c r="U131" s="79"/>
    </row>
    <row r="132" spans="5:23" x14ac:dyDescent="0.35">
      <c r="F132" t="s">
        <v>840</v>
      </c>
      <c r="G132" s="72" t="s">
        <v>283</v>
      </c>
      <c r="H132" s="98">
        <f t="shared" si="37"/>
        <v>1.0369999999999999</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1.028</v>
      </c>
      <c r="Q132" s="98">
        <f>OR(SUM(Q71:$S71) = 1, SUM(Q71:$S71) = -1) * Q$29</f>
        <v>1.0369999999999999</v>
      </c>
      <c r="R132" s="98">
        <f>OR(SUM(R71:$S71) = 1, SUM(R71:$S71) = -1) * R$29</f>
        <v>0</v>
      </c>
      <c r="S132" s="98">
        <f>OR(SUM(S71:$S71) = 1, SUM(S71:$S71) = -1) * S$29</f>
        <v>0</v>
      </c>
      <c r="T132" s="79"/>
      <c r="U132" s="79"/>
    </row>
    <row r="133" spans="5:23" x14ac:dyDescent="0.35">
      <c r="F133" t="s">
        <v>841</v>
      </c>
      <c r="G133" s="72" t="s">
        <v>283</v>
      </c>
      <c r="H133" s="98">
        <f t="shared" si="37"/>
        <v>1.099</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1.099</v>
      </c>
      <c r="T133" s="79"/>
      <c r="U133" s="79"/>
    </row>
    <row r="134" spans="5:23" x14ac:dyDescent="0.35">
      <c r="F134" t="s">
        <v>833</v>
      </c>
      <c r="G134" s="72" t="s">
        <v>283</v>
      </c>
      <c r="H134" s="98">
        <f t="shared" si="37"/>
        <v>1.099</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1.099</v>
      </c>
      <c r="T134" s="79"/>
      <c r="U134" s="79"/>
    </row>
    <row r="135" spans="5:23" x14ac:dyDescent="0.35">
      <c r="F135" t="s">
        <v>834</v>
      </c>
      <c r="G135" s="72" t="s">
        <v>283</v>
      </c>
      <c r="H135" s="98">
        <f t="shared" si="37"/>
        <v>1.0609999999999999</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1.0609999999999999</v>
      </c>
      <c r="S135" s="98">
        <f>OR(SUM(S74:$S74) = 1, SUM(S74:$S74) = -1) * S$29</f>
        <v>0</v>
      </c>
      <c r="T135" s="79"/>
      <c r="U135" s="79"/>
    </row>
    <row r="136" spans="5:23" x14ac:dyDescent="0.35">
      <c r="F136" t="s">
        <v>835</v>
      </c>
      <c r="G136" s="72" t="s">
        <v>283</v>
      </c>
      <c r="H136" s="98">
        <f t="shared" si="37"/>
        <v>1.099</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1.099</v>
      </c>
      <c r="T136" s="79"/>
      <c r="U136" s="79"/>
    </row>
    <row r="137" spans="5:23" x14ac:dyDescent="0.35">
      <c r="F137" t="s">
        <v>844</v>
      </c>
      <c r="G137" s="72" t="s">
        <v>283</v>
      </c>
      <c r="H137" s="98">
        <f t="shared" si="37"/>
        <v>1.099</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1.099</v>
      </c>
      <c r="T137" s="79"/>
      <c r="U137" s="79"/>
    </row>
    <row r="138" spans="5:23" x14ac:dyDescent="0.35">
      <c r="F138" t="s">
        <v>836</v>
      </c>
      <c r="G138" s="72" t="s">
        <v>283</v>
      </c>
      <c r="H138" s="98">
        <f t="shared" si="37"/>
        <v>1.0609999999999999</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1.0609999999999999</v>
      </c>
      <c r="S138" s="98">
        <f>OR(SUM(S77:$S77) = 1, SUM(S77:$S77) = -1) * S$29</f>
        <v>0</v>
      </c>
      <c r="T138" s="79"/>
      <c r="U138" s="79"/>
    </row>
    <row r="139" spans="5:23" x14ac:dyDescent="0.35">
      <c r="F139" t="s">
        <v>843</v>
      </c>
      <c r="G139" s="72" t="s">
        <v>283</v>
      </c>
      <c r="H139" s="98">
        <f t="shared" si="37"/>
        <v>1.0609999999999999</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1.0609999999999999</v>
      </c>
      <c r="S139" s="98">
        <f>OR(SUM(S78:$S78) = 1, SUM(S78:$S78) = -1) * S$29</f>
        <v>0</v>
      </c>
      <c r="T139" s="79"/>
      <c r="U139" s="79"/>
    </row>
    <row r="140" spans="5:23" x14ac:dyDescent="0.35">
      <c r="F140" t="s">
        <v>837</v>
      </c>
      <c r="G140" s="72" t="s">
        <v>283</v>
      </c>
      <c r="H140" s="98">
        <f t="shared" si="37"/>
        <v>1.0369999999999999</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1.028</v>
      </c>
      <c r="Q140" s="98">
        <f>OR(SUM(Q79:$S79) = 1, SUM(Q79:$S79) = -1) * Q$29</f>
        <v>1.0369999999999999</v>
      </c>
      <c r="R140" s="98">
        <f>OR(SUM(R79:$S79) = 1, SUM(R79:$S79) = -1) * R$29</f>
        <v>0</v>
      </c>
      <c r="S140" s="98">
        <f>OR(SUM(S79:$S79) = 1, SUM(S79:$S79) = -1) * S$29</f>
        <v>0</v>
      </c>
      <c r="T140" s="79"/>
      <c r="U140" s="79"/>
    </row>
    <row r="141" spans="5:23" x14ac:dyDescent="0.35">
      <c r="F141" s="37" t="s">
        <v>842</v>
      </c>
      <c r="G141" s="80" t="s">
        <v>283</v>
      </c>
      <c r="H141" s="100">
        <f t="shared" si="37"/>
        <v>1.0369999999999999</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1.028</v>
      </c>
      <c r="Q141" s="100">
        <f>OR(SUM(Q80:$S80) = 1, SUM(Q80:$S80) = -1) * Q$29</f>
        <v>1.0369999999999999</v>
      </c>
      <c r="R141" s="100">
        <f>OR(SUM(R80:$S80) = 1, SUM(R80:$S80) = -1) * R$29</f>
        <v>0</v>
      </c>
      <c r="S141" s="100">
        <f>OR(SUM(S80:$S80) = 1, SUM(S80:$S80) = -1) * S$29</f>
        <v>0</v>
      </c>
      <c r="T141" s="81"/>
      <c r="U141" s="81"/>
    </row>
    <row r="142" spans="5:23" x14ac:dyDescent="0.35">
      <c r="G142" s="13"/>
    </row>
    <row r="143" spans="5:23" x14ac:dyDescent="0.35">
      <c r="E143" s="32" t="s">
        <v>408</v>
      </c>
      <c r="G143" s="13"/>
      <c r="I143" t="s">
        <v>154</v>
      </c>
      <c r="W143" s="3" t="s">
        <v>409</v>
      </c>
    </row>
    <row r="144" spans="5:23" x14ac:dyDescent="0.35">
      <c r="E144" s="29" t="s">
        <v>401</v>
      </c>
      <c r="G144" s="13"/>
    </row>
    <row r="145" spans="6:23" x14ac:dyDescent="0.35">
      <c r="F145" s="23" t="s">
        <v>829</v>
      </c>
      <c r="G145" s="78" t="s">
        <v>283</v>
      </c>
      <c r="H145" s="129"/>
      <c r="I145" s="23"/>
      <c r="J145" s="101">
        <f t="shared" ref="J145:S145" si="38">$H126 * J104</f>
        <v>1.099</v>
      </c>
      <c r="K145" s="101">
        <f t="shared" si="38"/>
        <v>1.099</v>
      </c>
      <c r="L145" s="101">
        <f t="shared" si="38"/>
        <v>1.099</v>
      </c>
      <c r="M145" s="101">
        <f t="shared" si="38"/>
        <v>1.099</v>
      </c>
      <c r="N145" s="101">
        <f t="shared" si="38"/>
        <v>1.099</v>
      </c>
      <c r="O145" s="101">
        <f t="shared" si="38"/>
        <v>1.099</v>
      </c>
      <c r="P145" s="101">
        <f t="shared" si="38"/>
        <v>0</v>
      </c>
      <c r="Q145" s="101">
        <f t="shared" si="38"/>
        <v>1.099</v>
      </c>
      <c r="R145" s="101">
        <f t="shared" si="38"/>
        <v>1.099</v>
      </c>
      <c r="S145" s="101">
        <f t="shared" si="38"/>
        <v>1.099</v>
      </c>
      <c r="T145" s="83"/>
      <c r="U145" s="83"/>
    </row>
    <row r="146" spans="6:23" x14ac:dyDescent="0.35">
      <c r="F146" t="s">
        <v>831</v>
      </c>
      <c r="G146" s="72" t="s">
        <v>283</v>
      </c>
      <c r="H146" s="63"/>
      <c r="J146" s="121">
        <f t="shared" ref="J146:S146" si="39">$H127 * J105</f>
        <v>1.099</v>
      </c>
      <c r="K146" s="121">
        <f t="shared" si="39"/>
        <v>1.099</v>
      </c>
      <c r="L146" s="121">
        <f t="shared" si="39"/>
        <v>1.099</v>
      </c>
      <c r="M146" s="121">
        <f t="shared" si="39"/>
        <v>1.099</v>
      </c>
      <c r="N146" s="121">
        <f t="shared" si="39"/>
        <v>1.099</v>
      </c>
      <c r="O146" s="121">
        <f t="shared" si="39"/>
        <v>1.099</v>
      </c>
      <c r="P146" s="121">
        <f t="shared" si="39"/>
        <v>0</v>
      </c>
      <c r="Q146" s="121">
        <f t="shared" si="39"/>
        <v>1.099</v>
      </c>
      <c r="R146" s="121">
        <f t="shared" si="39"/>
        <v>1.099</v>
      </c>
      <c r="S146" s="121">
        <f t="shared" si="39"/>
        <v>1.099</v>
      </c>
      <c r="T146" s="79"/>
      <c r="U146" s="79"/>
      <c r="W146" s="3"/>
    </row>
    <row r="147" spans="6:23" x14ac:dyDescent="0.35">
      <c r="F147" t="s">
        <v>830</v>
      </c>
      <c r="G147" s="72" t="s">
        <v>283</v>
      </c>
      <c r="H147" s="63"/>
      <c r="J147" s="121">
        <f t="shared" ref="J147:S147" si="40">$H128 * J106</f>
        <v>1.099</v>
      </c>
      <c r="K147" s="121">
        <f t="shared" si="40"/>
        <v>1.099</v>
      </c>
      <c r="L147" s="121">
        <f t="shared" si="40"/>
        <v>1.099</v>
      </c>
      <c r="M147" s="121">
        <f t="shared" si="40"/>
        <v>1.099</v>
      </c>
      <c r="N147" s="121">
        <f t="shared" si="40"/>
        <v>1.099</v>
      </c>
      <c r="O147" s="121">
        <f t="shared" si="40"/>
        <v>1.099</v>
      </c>
      <c r="P147" s="121">
        <f t="shared" si="40"/>
        <v>0</v>
      </c>
      <c r="Q147" s="121">
        <f t="shared" si="40"/>
        <v>1.099</v>
      </c>
      <c r="R147" s="121">
        <f t="shared" si="40"/>
        <v>1.099</v>
      </c>
      <c r="S147" s="121">
        <f t="shared" si="40"/>
        <v>1.099</v>
      </c>
      <c r="T147" s="79"/>
      <c r="U147" s="79"/>
      <c r="W147" s="3"/>
    </row>
    <row r="148" spans="6:23" x14ac:dyDescent="0.35">
      <c r="F148" t="s">
        <v>832</v>
      </c>
      <c r="G148" s="72" t="s">
        <v>283</v>
      </c>
      <c r="H148" s="63"/>
      <c r="J148" s="121">
        <f t="shared" ref="J148:S148" si="41">$H129 * J107</f>
        <v>1.099</v>
      </c>
      <c r="K148" s="121">
        <f t="shared" si="41"/>
        <v>1.099</v>
      </c>
      <c r="L148" s="121">
        <f t="shared" si="41"/>
        <v>1.099</v>
      </c>
      <c r="M148" s="121">
        <f t="shared" si="41"/>
        <v>1.099</v>
      </c>
      <c r="N148" s="121">
        <f t="shared" si="41"/>
        <v>1.099</v>
      </c>
      <c r="O148" s="121">
        <f t="shared" si="41"/>
        <v>1.099</v>
      </c>
      <c r="P148" s="121">
        <f t="shared" si="41"/>
        <v>0</v>
      </c>
      <c r="Q148" s="121">
        <f t="shared" si="41"/>
        <v>1.099</v>
      </c>
      <c r="R148" s="121">
        <f t="shared" si="41"/>
        <v>1.099</v>
      </c>
      <c r="S148" s="121">
        <f t="shared" si="41"/>
        <v>1.099</v>
      </c>
      <c r="T148" s="79"/>
      <c r="U148" s="79"/>
    </row>
    <row r="149" spans="6:23" x14ac:dyDescent="0.35">
      <c r="F149" t="s">
        <v>838</v>
      </c>
      <c r="G149" s="72" t="s">
        <v>283</v>
      </c>
      <c r="H149" s="63"/>
      <c r="J149" s="121">
        <f t="shared" ref="J149:S149" si="42">$H130 * J108</f>
        <v>1.099</v>
      </c>
      <c r="K149" s="121">
        <f t="shared" si="42"/>
        <v>1.099</v>
      </c>
      <c r="L149" s="121">
        <f t="shared" si="42"/>
        <v>1.099</v>
      </c>
      <c r="M149" s="121">
        <f t="shared" si="42"/>
        <v>1.099</v>
      </c>
      <c r="N149" s="121">
        <f t="shared" si="42"/>
        <v>1.099</v>
      </c>
      <c r="O149" s="121">
        <f t="shared" si="42"/>
        <v>1.099</v>
      </c>
      <c r="P149" s="121">
        <f t="shared" si="42"/>
        <v>0</v>
      </c>
      <c r="Q149" s="121">
        <f t="shared" si="42"/>
        <v>1.099</v>
      </c>
      <c r="R149" s="121">
        <f t="shared" si="42"/>
        <v>1.099</v>
      </c>
      <c r="S149" s="121">
        <f t="shared" si="42"/>
        <v>1.099</v>
      </c>
      <c r="T149" s="79"/>
      <c r="U149" s="79"/>
    </row>
    <row r="150" spans="6:23" x14ac:dyDescent="0.35">
      <c r="F150" t="s">
        <v>839</v>
      </c>
      <c r="G150" s="72" t="s">
        <v>283</v>
      </c>
      <c r="H150" s="63"/>
      <c r="J150" s="121">
        <f t="shared" ref="J150:S150" si="43">$H131 * J109</f>
        <v>1.0609999999999999</v>
      </c>
      <c r="K150" s="121">
        <f t="shared" si="43"/>
        <v>1.0609999999999999</v>
      </c>
      <c r="L150" s="121">
        <f t="shared" si="43"/>
        <v>1.0609999999999999</v>
      </c>
      <c r="M150" s="121">
        <f t="shared" si="43"/>
        <v>1.0609999999999999</v>
      </c>
      <c r="N150" s="121">
        <f t="shared" si="43"/>
        <v>1.0609999999999999</v>
      </c>
      <c r="O150" s="121">
        <f t="shared" si="43"/>
        <v>1.0609999999999999</v>
      </c>
      <c r="P150" s="121">
        <f t="shared" si="43"/>
        <v>0</v>
      </c>
      <c r="Q150" s="121">
        <f t="shared" si="43"/>
        <v>1.0609999999999999</v>
      </c>
      <c r="R150" s="121">
        <f t="shared" si="43"/>
        <v>1.0609999999999999</v>
      </c>
      <c r="S150" s="121">
        <f t="shared" si="43"/>
        <v>0</v>
      </c>
      <c r="T150" s="79"/>
      <c r="U150" s="79"/>
    </row>
    <row r="151" spans="6:23" x14ac:dyDescent="0.35">
      <c r="F151" t="s">
        <v>840</v>
      </c>
      <c r="G151" s="72" t="s">
        <v>283</v>
      </c>
      <c r="H151" s="63"/>
      <c r="J151" s="121">
        <f t="shared" ref="J151:S151" si="44">$H132 * J110</f>
        <v>1.0369999999999999</v>
      </c>
      <c r="K151" s="121">
        <f t="shared" si="44"/>
        <v>1.0369999999999999</v>
      </c>
      <c r="L151" s="121">
        <f t="shared" si="44"/>
        <v>1.0369999999999999</v>
      </c>
      <c r="M151" s="121">
        <f t="shared" si="44"/>
        <v>1.0369999999999999</v>
      </c>
      <c r="N151" s="121">
        <f t="shared" si="44"/>
        <v>1.0369999999999999</v>
      </c>
      <c r="O151" s="121">
        <f t="shared" si="44"/>
        <v>1.0369999999999999</v>
      </c>
      <c r="P151" s="121">
        <f t="shared" si="44"/>
        <v>0</v>
      </c>
      <c r="Q151" s="121">
        <f t="shared" si="44"/>
        <v>1.0369999999999999</v>
      </c>
      <c r="R151" s="121">
        <f t="shared" si="44"/>
        <v>0</v>
      </c>
      <c r="S151" s="121">
        <f t="shared" si="44"/>
        <v>0</v>
      </c>
      <c r="T151" s="79"/>
      <c r="U151" s="79"/>
    </row>
    <row r="152" spans="6:23" x14ac:dyDescent="0.35">
      <c r="F152" t="s">
        <v>841</v>
      </c>
      <c r="G152" s="72" t="s">
        <v>283</v>
      </c>
      <c r="H152" s="63"/>
      <c r="J152" s="121">
        <f t="shared" ref="J152:S152" si="45">$H133 * J111</f>
        <v>1.099</v>
      </c>
      <c r="K152" s="121">
        <f t="shared" si="45"/>
        <v>1.099</v>
      </c>
      <c r="L152" s="121">
        <f t="shared" si="45"/>
        <v>1.099</v>
      </c>
      <c r="M152" s="121">
        <f t="shared" si="45"/>
        <v>1.099</v>
      </c>
      <c r="N152" s="121">
        <f t="shared" si="45"/>
        <v>1.099</v>
      </c>
      <c r="O152" s="121">
        <f t="shared" si="45"/>
        <v>1.099</v>
      </c>
      <c r="P152" s="121">
        <f t="shared" si="45"/>
        <v>0</v>
      </c>
      <c r="Q152" s="121">
        <f t="shared" si="45"/>
        <v>1.099</v>
      </c>
      <c r="R152" s="121">
        <f t="shared" si="45"/>
        <v>1.099</v>
      </c>
      <c r="S152" s="121">
        <f t="shared" si="45"/>
        <v>1.099</v>
      </c>
      <c r="T152" s="79"/>
      <c r="U152" s="79"/>
    </row>
    <row r="153" spans="6:23" x14ac:dyDescent="0.35">
      <c r="F153" t="s">
        <v>833</v>
      </c>
      <c r="G153" s="72" t="s">
        <v>283</v>
      </c>
      <c r="H153" s="63"/>
      <c r="J153" s="121">
        <f t="shared" ref="J153:S153" si="46">$H134 * J112</f>
        <v>-1.099</v>
      </c>
      <c r="K153" s="121">
        <f t="shared" si="46"/>
        <v>-1.099</v>
      </c>
      <c r="L153" s="121">
        <f t="shared" si="46"/>
        <v>-1.099</v>
      </c>
      <c r="M153" s="121">
        <f t="shared" si="46"/>
        <v>-1.099</v>
      </c>
      <c r="N153" s="121">
        <f t="shared" si="46"/>
        <v>-1.099</v>
      </c>
      <c r="O153" s="121">
        <f t="shared" si="46"/>
        <v>-1.099</v>
      </c>
      <c r="P153" s="121">
        <f t="shared" si="46"/>
        <v>0</v>
      </c>
      <c r="Q153" s="121">
        <f t="shared" si="46"/>
        <v>-1.099</v>
      </c>
      <c r="R153" s="121">
        <f t="shared" si="46"/>
        <v>-1.099</v>
      </c>
      <c r="S153" s="121">
        <f t="shared" si="46"/>
        <v>0</v>
      </c>
      <c r="T153" s="79"/>
      <c r="U153" s="79"/>
    </row>
    <row r="154" spans="6:23" x14ac:dyDescent="0.35">
      <c r="F154" t="s">
        <v>834</v>
      </c>
      <c r="G154" s="72" t="s">
        <v>283</v>
      </c>
      <c r="H154" s="63"/>
      <c r="J154" s="121">
        <f t="shared" ref="J154:S154" si="47">$H135 * J113</f>
        <v>-1.0609999999999999</v>
      </c>
      <c r="K154" s="121">
        <f t="shared" si="47"/>
        <v>-1.0609999999999999</v>
      </c>
      <c r="L154" s="121">
        <f t="shared" si="47"/>
        <v>-1.0609999999999999</v>
      </c>
      <c r="M154" s="121">
        <f t="shared" si="47"/>
        <v>-1.0609999999999999</v>
      </c>
      <c r="N154" s="121">
        <f t="shared" si="47"/>
        <v>-1.0609999999999999</v>
      </c>
      <c r="O154" s="121">
        <f t="shared" si="47"/>
        <v>-1.0609999999999999</v>
      </c>
      <c r="P154" s="121">
        <f t="shared" si="47"/>
        <v>0</v>
      </c>
      <c r="Q154" s="121">
        <f t="shared" si="47"/>
        <v>-1.0609999999999999</v>
      </c>
      <c r="R154" s="121">
        <f t="shared" si="47"/>
        <v>0</v>
      </c>
      <c r="S154" s="121">
        <f t="shared" si="47"/>
        <v>0</v>
      </c>
      <c r="T154" s="79"/>
      <c r="U154" s="79"/>
    </row>
    <row r="155" spans="6:23" x14ac:dyDescent="0.35">
      <c r="F155" t="s">
        <v>835</v>
      </c>
      <c r="G155" s="72" t="s">
        <v>283</v>
      </c>
      <c r="H155" s="63"/>
      <c r="J155" s="121">
        <f t="shared" ref="J155:S155" si="48">$H136 * J114</f>
        <v>-1.099</v>
      </c>
      <c r="K155" s="121">
        <f t="shared" si="48"/>
        <v>-1.099</v>
      </c>
      <c r="L155" s="121">
        <f t="shared" si="48"/>
        <v>-1.099</v>
      </c>
      <c r="M155" s="121">
        <f t="shared" si="48"/>
        <v>-1.099</v>
      </c>
      <c r="N155" s="121">
        <f t="shared" si="48"/>
        <v>-1.099</v>
      </c>
      <c r="O155" s="121">
        <f t="shared" si="48"/>
        <v>-1.099</v>
      </c>
      <c r="P155" s="121">
        <f t="shared" si="48"/>
        <v>0</v>
      </c>
      <c r="Q155" s="121">
        <f t="shared" si="48"/>
        <v>-1.099</v>
      </c>
      <c r="R155" s="121">
        <f t="shared" si="48"/>
        <v>-1.099</v>
      </c>
      <c r="S155" s="121">
        <f t="shared" si="48"/>
        <v>0</v>
      </c>
      <c r="T155" s="79"/>
      <c r="U155" s="79"/>
    </row>
    <row r="156" spans="6:23" x14ac:dyDescent="0.35">
      <c r="F156" t="s">
        <v>844</v>
      </c>
      <c r="G156" s="72" t="s">
        <v>283</v>
      </c>
      <c r="H156" s="63"/>
      <c r="J156" s="121">
        <f t="shared" ref="J156:S156" si="49">$H137 * J115</f>
        <v>-1.099</v>
      </c>
      <c r="K156" s="121">
        <f t="shared" si="49"/>
        <v>-1.099</v>
      </c>
      <c r="L156" s="121">
        <f t="shared" si="49"/>
        <v>-1.099</v>
      </c>
      <c r="M156" s="121">
        <f t="shared" si="49"/>
        <v>-1.099</v>
      </c>
      <c r="N156" s="121">
        <f t="shared" si="49"/>
        <v>-1.099</v>
      </c>
      <c r="O156" s="121">
        <f t="shared" si="49"/>
        <v>-1.099</v>
      </c>
      <c r="P156" s="121">
        <f t="shared" si="49"/>
        <v>0</v>
      </c>
      <c r="Q156" s="121">
        <f t="shared" si="49"/>
        <v>-1.099</v>
      </c>
      <c r="R156" s="121">
        <f t="shared" si="49"/>
        <v>-1.099</v>
      </c>
      <c r="S156" s="121">
        <f t="shared" si="49"/>
        <v>0</v>
      </c>
      <c r="T156" s="79"/>
      <c r="U156" s="79"/>
    </row>
    <row r="157" spans="6:23" x14ac:dyDescent="0.35">
      <c r="F157" t="s">
        <v>836</v>
      </c>
      <c r="G157" s="72" t="s">
        <v>283</v>
      </c>
      <c r="H157" s="63"/>
      <c r="J157" s="121">
        <f t="shared" ref="J157:S157" si="50">$H138 * J116</f>
        <v>-1.0609999999999999</v>
      </c>
      <c r="K157" s="121">
        <f t="shared" si="50"/>
        <v>-1.0609999999999999</v>
      </c>
      <c r="L157" s="121">
        <f t="shared" si="50"/>
        <v>-1.0609999999999999</v>
      </c>
      <c r="M157" s="121">
        <f t="shared" si="50"/>
        <v>-1.0609999999999999</v>
      </c>
      <c r="N157" s="121">
        <f t="shared" si="50"/>
        <v>-1.0609999999999999</v>
      </c>
      <c r="O157" s="121">
        <f t="shared" si="50"/>
        <v>-1.0609999999999999</v>
      </c>
      <c r="P157" s="121">
        <f t="shared" si="50"/>
        <v>0</v>
      </c>
      <c r="Q157" s="121">
        <f t="shared" si="50"/>
        <v>-1.0609999999999999</v>
      </c>
      <c r="R157" s="121">
        <f t="shared" si="50"/>
        <v>0</v>
      </c>
      <c r="S157" s="121">
        <f t="shared" si="50"/>
        <v>0</v>
      </c>
      <c r="T157" s="79"/>
      <c r="U157" s="79"/>
    </row>
    <row r="158" spans="6:23" x14ac:dyDescent="0.35">
      <c r="F158" t="s">
        <v>843</v>
      </c>
      <c r="G158" s="72" t="s">
        <v>283</v>
      </c>
      <c r="H158" s="63"/>
      <c r="J158" s="121">
        <f t="shared" ref="J158:S158" si="51">$H139 * J117</f>
        <v>-1.0609999999999999</v>
      </c>
      <c r="K158" s="121">
        <f t="shared" si="51"/>
        <v>-1.0609999999999999</v>
      </c>
      <c r="L158" s="121">
        <f t="shared" si="51"/>
        <v>-1.0609999999999999</v>
      </c>
      <c r="M158" s="121">
        <f t="shared" si="51"/>
        <v>-1.0609999999999999</v>
      </c>
      <c r="N158" s="121">
        <f t="shared" si="51"/>
        <v>-1.0609999999999999</v>
      </c>
      <c r="O158" s="121">
        <f t="shared" si="51"/>
        <v>-1.0609999999999999</v>
      </c>
      <c r="P158" s="121">
        <f t="shared" si="51"/>
        <v>0</v>
      </c>
      <c r="Q158" s="121">
        <f t="shared" si="51"/>
        <v>-1.0609999999999999</v>
      </c>
      <c r="R158" s="121">
        <f t="shared" si="51"/>
        <v>0</v>
      </c>
      <c r="S158" s="121">
        <f t="shared" si="51"/>
        <v>0</v>
      </c>
      <c r="T158" s="79"/>
      <c r="U158" s="79"/>
    </row>
    <row r="159" spans="6:23" x14ac:dyDescent="0.35">
      <c r="F159" t="s">
        <v>837</v>
      </c>
      <c r="G159" s="72" t="s">
        <v>283</v>
      </c>
      <c r="H159" s="63"/>
      <c r="J159" s="121">
        <f t="shared" ref="J159:S159" si="52">$H140 * J118</f>
        <v>-1.0369999999999999</v>
      </c>
      <c r="K159" s="121">
        <f t="shared" si="52"/>
        <v>-1.0369999999999999</v>
      </c>
      <c r="L159" s="121">
        <f t="shared" si="52"/>
        <v>-1.0369999999999999</v>
      </c>
      <c r="M159" s="121">
        <f t="shared" si="52"/>
        <v>-1.0369999999999999</v>
      </c>
      <c r="N159" s="121">
        <f t="shared" si="52"/>
        <v>-1.0369999999999999</v>
      </c>
      <c r="O159" s="121">
        <f t="shared" si="52"/>
        <v>-1.0369999999999999</v>
      </c>
      <c r="P159" s="121">
        <f t="shared" si="52"/>
        <v>0</v>
      </c>
      <c r="Q159" s="121">
        <f t="shared" si="52"/>
        <v>0</v>
      </c>
      <c r="R159" s="121">
        <f t="shared" si="52"/>
        <v>0</v>
      </c>
      <c r="S159" s="121">
        <f t="shared" si="52"/>
        <v>0</v>
      </c>
      <c r="T159" s="79"/>
      <c r="U159" s="79"/>
    </row>
    <row r="160" spans="6:23" x14ac:dyDescent="0.35">
      <c r="F160" s="37" t="s">
        <v>842</v>
      </c>
      <c r="G160" s="80" t="s">
        <v>283</v>
      </c>
      <c r="H160" s="130"/>
      <c r="I160" s="37"/>
      <c r="J160" s="131">
        <f t="shared" ref="J160:S160" si="53">$H141 * J119</f>
        <v>-1.0369999999999999</v>
      </c>
      <c r="K160" s="131">
        <f t="shared" si="53"/>
        <v>-1.0369999999999999</v>
      </c>
      <c r="L160" s="131">
        <f t="shared" si="53"/>
        <v>-1.0369999999999999</v>
      </c>
      <c r="M160" s="131">
        <f t="shared" si="53"/>
        <v>-1.0369999999999999</v>
      </c>
      <c r="N160" s="131">
        <f t="shared" si="53"/>
        <v>-1.0369999999999999</v>
      </c>
      <c r="O160" s="131">
        <f t="shared" si="53"/>
        <v>-1.0369999999999999</v>
      </c>
      <c r="P160" s="131">
        <f t="shared" si="53"/>
        <v>0</v>
      </c>
      <c r="Q160" s="131">
        <f t="shared" si="53"/>
        <v>0</v>
      </c>
      <c r="R160" s="131">
        <f t="shared" si="53"/>
        <v>0</v>
      </c>
      <c r="S160" s="131">
        <f t="shared" si="53"/>
        <v>0</v>
      </c>
      <c r="T160" s="81"/>
      <c r="U160" s="81"/>
    </row>
    <row r="161" spans="5:23" x14ac:dyDescent="0.35">
      <c r="G161" s="13"/>
      <c r="J161" s="89"/>
      <c r="K161" s="89"/>
      <c r="L161" s="89"/>
      <c r="M161" s="89"/>
      <c r="N161" s="89"/>
      <c r="O161" s="89"/>
      <c r="P161" s="89"/>
      <c r="Q161" s="89"/>
      <c r="R161" s="89"/>
      <c r="S161" s="89"/>
      <c r="T161" s="89"/>
      <c r="U161" s="89"/>
    </row>
    <row r="162" spans="5:23" x14ac:dyDescent="0.35">
      <c r="E162" s="32" t="s">
        <v>404</v>
      </c>
      <c r="G162" s="13"/>
      <c r="I162" t="s">
        <v>154</v>
      </c>
      <c r="J162" s="89"/>
      <c r="K162" s="89"/>
      <c r="L162" s="89"/>
      <c r="M162" s="89"/>
      <c r="N162" s="89"/>
      <c r="O162" s="89"/>
      <c r="P162" s="89"/>
      <c r="Q162" s="89"/>
      <c r="R162" s="89"/>
      <c r="S162" s="89"/>
      <c r="T162" s="89"/>
      <c r="U162" s="89"/>
      <c r="W162" s="3" t="s">
        <v>409</v>
      </c>
    </row>
    <row r="163" spans="5:23" x14ac:dyDescent="0.35">
      <c r="E163" s="29" t="s">
        <v>401</v>
      </c>
      <c r="G163" s="13"/>
      <c r="J163" s="89"/>
      <c r="K163" s="89"/>
      <c r="L163" s="89"/>
      <c r="M163" s="89"/>
      <c r="N163" s="89"/>
      <c r="O163" s="89"/>
      <c r="P163" s="89"/>
      <c r="Q163" s="89"/>
      <c r="R163" s="89"/>
      <c r="S163" s="89"/>
      <c r="T163" s="89"/>
      <c r="U163" s="89"/>
    </row>
    <row r="164" spans="5:23" x14ac:dyDescent="0.35">
      <c r="F164" s="23" t="s">
        <v>829</v>
      </c>
      <c r="G164" s="78" t="s">
        <v>283</v>
      </c>
      <c r="H164" s="129"/>
      <c r="I164" s="23"/>
      <c r="J164" s="83"/>
      <c r="K164" s="83"/>
      <c r="L164" s="83"/>
      <c r="M164" s="83"/>
      <c r="N164" s="83"/>
      <c r="O164" s="83"/>
      <c r="P164" s="83"/>
      <c r="Q164" s="83"/>
      <c r="R164" s="83"/>
      <c r="S164" s="83"/>
      <c r="T164" s="83"/>
      <c r="U164" s="83"/>
    </row>
    <row r="165" spans="5:23" x14ac:dyDescent="0.35">
      <c r="F165" t="s">
        <v>831</v>
      </c>
      <c r="G165" s="72" t="s">
        <v>283</v>
      </c>
      <c r="H165" s="63"/>
      <c r="J165" s="79"/>
      <c r="K165" s="79"/>
      <c r="L165" s="79"/>
      <c r="M165" s="79"/>
      <c r="N165" s="79"/>
      <c r="O165" s="79"/>
      <c r="P165" s="79"/>
      <c r="Q165" s="79"/>
      <c r="R165" s="79"/>
      <c r="S165" s="79"/>
      <c r="T165" s="79"/>
      <c r="U165" s="79"/>
      <c r="W165" s="3"/>
    </row>
    <row r="166" spans="5:23" x14ac:dyDescent="0.35">
      <c r="F166" t="s">
        <v>830</v>
      </c>
      <c r="G166" s="72" t="s">
        <v>283</v>
      </c>
      <c r="H166" s="63"/>
      <c r="J166" s="79"/>
      <c r="K166" s="79"/>
      <c r="L166" s="79"/>
      <c r="M166" s="79"/>
      <c r="N166" s="79"/>
      <c r="O166" s="79"/>
      <c r="P166" s="79"/>
      <c r="Q166" s="79"/>
      <c r="R166" s="79"/>
      <c r="S166" s="79"/>
      <c r="T166" s="79"/>
      <c r="U166" s="79"/>
      <c r="W166" s="3"/>
    </row>
    <row r="167" spans="5:23" x14ac:dyDescent="0.35">
      <c r="F167" t="s">
        <v>832</v>
      </c>
      <c r="G167" s="72" t="s">
        <v>283</v>
      </c>
      <c r="H167" s="63"/>
      <c r="J167" s="79"/>
      <c r="K167" s="79"/>
      <c r="L167" s="79"/>
      <c r="M167" s="79"/>
      <c r="N167" s="79"/>
      <c r="O167" s="79"/>
      <c r="P167" s="79"/>
      <c r="Q167" s="79"/>
      <c r="R167" s="79"/>
      <c r="S167" s="79"/>
      <c r="T167" s="79"/>
      <c r="U167" s="79"/>
    </row>
    <row r="168" spans="5:23" x14ac:dyDescent="0.35">
      <c r="F168" t="s">
        <v>838</v>
      </c>
      <c r="G168" s="72" t="s">
        <v>283</v>
      </c>
      <c r="H168" s="63"/>
      <c r="J168" s="79"/>
      <c r="K168" s="79"/>
      <c r="L168" s="79"/>
      <c r="M168" s="79"/>
      <c r="N168" s="79"/>
      <c r="O168" s="79"/>
      <c r="P168" s="79"/>
      <c r="Q168" s="79"/>
      <c r="R168" s="79"/>
      <c r="S168" s="79"/>
      <c r="T168" s="79"/>
      <c r="U168" s="79"/>
    </row>
    <row r="169" spans="5:23" x14ac:dyDescent="0.35">
      <c r="F169" t="s">
        <v>839</v>
      </c>
      <c r="G169" s="72" t="s">
        <v>283</v>
      </c>
      <c r="H169" s="63"/>
      <c r="J169" s="79"/>
      <c r="K169" s="79"/>
      <c r="L169" s="79"/>
      <c r="M169" s="79"/>
      <c r="N169" s="79"/>
      <c r="O169" s="79"/>
      <c r="P169" s="79"/>
      <c r="Q169" s="79"/>
      <c r="R169" s="79"/>
      <c r="S169" s="79"/>
      <c r="T169" s="79"/>
      <c r="U169" s="79"/>
    </row>
    <row r="170" spans="5:23" x14ac:dyDescent="0.35">
      <c r="F170" t="s">
        <v>840</v>
      </c>
      <c r="G170" s="72" t="s">
        <v>283</v>
      </c>
      <c r="H170" s="63"/>
      <c r="J170" s="79"/>
      <c r="K170" s="79"/>
      <c r="L170" s="79"/>
      <c r="M170" s="79"/>
      <c r="N170" s="79"/>
      <c r="O170" s="79"/>
      <c r="P170" s="79"/>
      <c r="Q170" s="79"/>
      <c r="R170" s="79"/>
      <c r="S170" s="79"/>
      <c r="T170" s="79"/>
      <c r="U170" s="79"/>
    </row>
    <row r="171" spans="5:23" x14ac:dyDescent="0.35">
      <c r="F171" t="s">
        <v>841</v>
      </c>
      <c r="G171" s="72" t="s">
        <v>283</v>
      </c>
      <c r="H171" s="63"/>
      <c r="J171" s="79"/>
      <c r="K171" s="79"/>
      <c r="L171" s="79"/>
      <c r="M171" s="79"/>
      <c r="N171" s="79"/>
      <c r="O171" s="79"/>
      <c r="P171" s="79"/>
      <c r="Q171" s="79"/>
      <c r="R171" s="79"/>
      <c r="S171" s="79"/>
      <c r="T171" s="79"/>
      <c r="U171" s="79"/>
    </row>
    <row r="172" spans="5:23" x14ac:dyDescent="0.35">
      <c r="F172" t="s">
        <v>833</v>
      </c>
      <c r="G172" s="72" t="s">
        <v>283</v>
      </c>
      <c r="H172" s="63"/>
      <c r="J172" s="121">
        <f t="shared" ref="J172:S172" si="54">$H134 * J73</f>
        <v>-1.099</v>
      </c>
      <c r="K172" s="121">
        <f t="shared" si="54"/>
        <v>-1.099</v>
      </c>
      <c r="L172" s="121">
        <f t="shared" si="54"/>
        <v>-1.099</v>
      </c>
      <c r="M172" s="121">
        <f t="shared" si="54"/>
        <v>-1.099</v>
      </c>
      <c r="N172" s="121">
        <f t="shared" si="54"/>
        <v>-1.099</v>
      </c>
      <c r="O172" s="121">
        <f t="shared" si="54"/>
        <v>-1.099</v>
      </c>
      <c r="P172" s="121">
        <f t="shared" si="54"/>
        <v>0</v>
      </c>
      <c r="Q172" s="121">
        <f t="shared" si="54"/>
        <v>-1.099</v>
      </c>
      <c r="R172" s="121">
        <f t="shared" si="54"/>
        <v>-1.099</v>
      </c>
      <c r="S172" s="121">
        <f t="shared" si="54"/>
        <v>-1.099</v>
      </c>
      <c r="T172" s="79"/>
      <c r="U172" s="79"/>
    </row>
    <row r="173" spans="5:23" x14ac:dyDescent="0.35">
      <c r="F173" t="s">
        <v>834</v>
      </c>
      <c r="G173" s="72" t="s">
        <v>283</v>
      </c>
      <c r="H173" s="63"/>
      <c r="J173" s="121">
        <f t="shared" ref="J173:S173" si="55">$H135 * J74</f>
        <v>-1.0609999999999999</v>
      </c>
      <c r="K173" s="121">
        <f t="shared" si="55"/>
        <v>-1.0609999999999999</v>
      </c>
      <c r="L173" s="121">
        <f t="shared" si="55"/>
        <v>-1.0609999999999999</v>
      </c>
      <c r="M173" s="121">
        <f t="shared" si="55"/>
        <v>-1.0609999999999999</v>
      </c>
      <c r="N173" s="121">
        <f t="shared" si="55"/>
        <v>-1.0609999999999999</v>
      </c>
      <c r="O173" s="121">
        <f t="shared" si="55"/>
        <v>-1.0609999999999999</v>
      </c>
      <c r="P173" s="121">
        <f t="shared" si="55"/>
        <v>0</v>
      </c>
      <c r="Q173" s="121">
        <f t="shared" si="55"/>
        <v>-1.0609999999999999</v>
      </c>
      <c r="R173" s="121">
        <f t="shared" si="55"/>
        <v>-1.0609999999999999</v>
      </c>
      <c r="S173" s="121">
        <f t="shared" si="55"/>
        <v>0</v>
      </c>
      <c r="T173" s="79"/>
      <c r="U173" s="79"/>
    </row>
    <row r="174" spans="5:23" x14ac:dyDescent="0.35">
      <c r="F174" t="s">
        <v>835</v>
      </c>
      <c r="G174" s="72" t="s">
        <v>283</v>
      </c>
      <c r="H174" s="63"/>
      <c r="J174" s="121">
        <f t="shared" ref="J174:S174" si="56">$H136 * J75</f>
        <v>-1.099</v>
      </c>
      <c r="K174" s="121">
        <f t="shared" si="56"/>
        <v>-1.099</v>
      </c>
      <c r="L174" s="121">
        <f t="shared" si="56"/>
        <v>-1.099</v>
      </c>
      <c r="M174" s="121">
        <f t="shared" si="56"/>
        <v>-1.099</v>
      </c>
      <c r="N174" s="121">
        <f t="shared" si="56"/>
        <v>-1.099</v>
      </c>
      <c r="O174" s="121">
        <f t="shared" si="56"/>
        <v>-1.099</v>
      </c>
      <c r="P174" s="121">
        <f t="shared" si="56"/>
        <v>0</v>
      </c>
      <c r="Q174" s="121">
        <f t="shared" si="56"/>
        <v>-1.099</v>
      </c>
      <c r="R174" s="121">
        <f t="shared" si="56"/>
        <v>-1.099</v>
      </c>
      <c r="S174" s="121">
        <f t="shared" si="56"/>
        <v>-1.099</v>
      </c>
      <c r="T174" s="79"/>
      <c r="U174" s="79"/>
    </row>
    <row r="175" spans="5:23" x14ac:dyDescent="0.35">
      <c r="F175" t="s">
        <v>844</v>
      </c>
      <c r="G175" s="72" t="s">
        <v>283</v>
      </c>
      <c r="H175" s="63"/>
      <c r="J175" s="121">
        <f t="shared" ref="J175:S175" si="57">$H137 * J76</f>
        <v>-1.099</v>
      </c>
      <c r="K175" s="121">
        <f t="shared" si="57"/>
        <v>-1.099</v>
      </c>
      <c r="L175" s="121">
        <f t="shared" si="57"/>
        <v>-1.099</v>
      </c>
      <c r="M175" s="121">
        <f t="shared" si="57"/>
        <v>-1.099</v>
      </c>
      <c r="N175" s="121">
        <f t="shared" si="57"/>
        <v>-1.099</v>
      </c>
      <c r="O175" s="121">
        <f t="shared" si="57"/>
        <v>-1.099</v>
      </c>
      <c r="P175" s="121">
        <f t="shared" si="57"/>
        <v>0</v>
      </c>
      <c r="Q175" s="121">
        <f t="shared" si="57"/>
        <v>-1.099</v>
      </c>
      <c r="R175" s="121">
        <f t="shared" si="57"/>
        <v>-1.099</v>
      </c>
      <c r="S175" s="121">
        <f t="shared" si="57"/>
        <v>-1.099</v>
      </c>
      <c r="T175" s="79"/>
      <c r="U175" s="79"/>
    </row>
    <row r="176" spans="5:23" x14ac:dyDescent="0.35">
      <c r="F176" t="s">
        <v>836</v>
      </c>
      <c r="G176" s="72" t="s">
        <v>283</v>
      </c>
      <c r="H176" s="63"/>
      <c r="J176" s="121">
        <f t="shared" ref="J176:S176" si="58">$H138 * J77</f>
        <v>-1.0609999999999999</v>
      </c>
      <c r="K176" s="121">
        <f t="shared" si="58"/>
        <v>-1.0609999999999999</v>
      </c>
      <c r="L176" s="121">
        <f t="shared" si="58"/>
        <v>-1.0609999999999999</v>
      </c>
      <c r="M176" s="121">
        <f t="shared" si="58"/>
        <v>-1.0609999999999999</v>
      </c>
      <c r="N176" s="121">
        <f t="shared" si="58"/>
        <v>-1.0609999999999999</v>
      </c>
      <c r="O176" s="121">
        <f t="shared" si="58"/>
        <v>-1.0609999999999999</v>
      </c>
      <c r="P176" s="121">
        <f t="shared" si="58"/>
        <v>0</v>
      </c>
      <c r="Q176" s="121">
        <f t="shared" si="58"/>
        <v>-1.0609999999999999</v>
      </c>
      <c r="R176" s="121">
        <f t="shared" si="58"/>
        <v>-1.0609999999999999</v>
      </c>
      <c r="S176" s="121">
        <f t="shared" si="58"/>
        <v>0</v>
      </c>
      <c r="T176" s="79"/>
      <c r="U176" s="79"/>
    </row>
    <row r="177" spans="2:23" x14ac:dyDescent="0.35">
      <c r="F177" t="s">
        <v>843</v>
      </c>
      <c r="G177" s="72" t="s">
        <v>283</v>
      </c>
      <c r="H177" s="63"/>
      <c r="J177" s="121">
        <f t="shared" ref="J177:S177" si="59">$H139 * J78</f>
        <v>-1.0609999999999999</v>
      </c>
      <c r="K177" s="121">
        <f t="shared" si="59"/>
        <v>-1.0609999999999999</v>
      </c>
      <c r="L177" s="121">
        <f t="shared" si="59"/>
        <v>-1.0609999999999999</v>
      </c>
      <c r="M177" s="121">
        <f t="shared" si="59"/>
        <v>-1.0609999999999999</v>
      </c>
      <c r="N177" s="121">
        <f t="shared" si="59"/>
        <v>-1.0609999999999999</v>
      </c>
      <c r="O177" s="121">
        <f t="shared" si="59"/>
        <v>-1.0609999999999999</v>
      </c>
      <c r="P177" s="121">
        <f t="shared" si="59"/>
        <v>0</v>
      </c>
      <c r="Q177" s="121">
        <f t="shared" si="59"/>
        <v>-1.0609999999999999</v>
      </c>
      <c r="R177" s="121">
        <f t="shared" si="59"/>
        <v>-1.0609999999999999</v>
      </c>
      <c r="S177" s="121">
        <f t="shared" si="59"/>
        <v>0</v>
      </c>
      <c r="T177" s="79"/>
      <c r="U177" s="79"/>
    </row>
    <row r="178" spans="2:23" x14ac:dyDescent="0.35">
      <c r="F178" t="s">
        <v>837</v>
      </c>
      <c r="G178" s="72" t="s">
        <v>283</v>
      </c>
      <c r="H178" s="63"/>
      <c r="J178" s="121">
        <f t="shared" ref="J178:S178" si="60">$H140 * J79</f>
        <v>-1.0369999999999999</v>
      </c>
      <c r="K178" s="121">
        <f t="shared" si="60"/>
        <v>-1.0369999999999999</v>
      </c>
      <c r="L178" s="121">
        <f t="shared" si="60"/>
        <v>-1.0369999999999999</v>
      </c>
      <c r="M178" s="121">
        <f t="shared" si="60"/>
        <v>-1.0369999999999999</v>
      </c>
      <c r="N178" s="121">
        <f t="shared" si="60"/>
        <v>-1.0369999999999999</v>
      </c>
      <c r="O178" s="121">
        <f t="shared" si="60"/>
        <v>-1.0369999999999999</v>
      </c>
      <c r="P178" s="121">
        <f t="shared" si="60"/>
        <v>0</v>
      </c>
      <c r="Q178" s="121">
        <f t="shared" si="60"/>
        <v>-1.0369999999999999</v>
      </c>
      <c r="R178" s="121">
        <f t="shared" si="60"/>
        <v>0</v>
      </c>
      <c r="S178" s="121">
        <f t="shared" si="60"/>
        <v>0</v>
      </c>
      <c r="T178" s="79"/>
      <c r="U178" s="79"/>
    </row>
    <row r="179" spans="2:23" x14ac:dyDescent="0.35">
      <c r="F179" s="37" t="s">
        <v>842</v>
      </c>
      <c r="G179" s="80" t="s">
        <v>283</v>
      </c>
      <c r="H179" s="130"/>
      <c r="I179" s="37"/>
      <c r="J179" s="131">
        <f t="shared" ref="J179:S179" si="61">$H141 * J80</f>
        <v>-1.0369999999999999</v>
      </c>
      <c r="K179" s="131">
        <f t="shared" si="61"/>
        <v>-1.0369999999999999</v>
      </c>
      <c r="L179" s="131">
        <f t="shared" si="61"/>
        <v>-1.0369999999999999</v>
      </c>
      <c r="M179" s="131">
        <f t="shared" si="61"/>
        <v>-1.0369999999999999</v>
      </c>
      <c r="N179" s="131">
        <f t="shared" si="61"/>
        <v>-1.0369999999999999</v>
      </c>
      <c r="O179" s="131">
        <f t="shared" si="61"/>
        <v>-1.0369999999999999</v>
      </c>
      <c r="P179" s="131">
        <f t="shared" si="61"/>
        <v>0</v>
      </c>
      <c r="Q179" s="131">
        <f t="shared" si="61"/>
        <v>-1.0369999999999999</v>
      </c>
      <c r="R179" s="131">
        <f t="shared" si="61"/>
        <v>0</v>
      </c>
      <c r="S179" s="131">
        <f t="shared" si="61"/>
        <v>0</v>
      </c>
      <c r="T179" s="81"/>
      <c r="U179" s="81"/>
    </row>
    <row r="180" spans="2:23" x14ac:dyDescent="0.35">
      <c r="G180" s="13"/>
    </row>
    <row r="181" spans="2:23" x14ac:dyDescent="0.35">
      <c r="B181" s="30" t="s">
        <v>231</v>
      </c>
      <c r="C181" s="30"/>
      <c r="D181" s="105"/>
      <c r="E181" s="105"/>
      <c r="F181" s="105"/>
      <c r="G181" s="132"/>
      <c r="H181" s="105"/>
      <c r="I181" s="105"/>
      <c r="J181" s="105"/>
      <c r="K181" s="105"/>
      <c r="L181" s="105"/>
      <c r="M181" s="105"/>
      <c r="N181" s="105"/>
      <c r="O181" s="105"/>
      <c r="P181" s="105"/>
      <c r="Q181" s="105"/>
      <c r="R181" s="105"/>
      <c r="S181" s="105"/>
      <c r="T181" s="105"/>
      <c r="U181" s="105"/>
      <c r="V181" s="105"/>
      <c r="W181" s="105"/>
    </row>
    <row r="182" spans="2:23" x14ac:dyDescent="0.35">
      <c r="G182" s="13"/>
    </row>
    <row r="183" spans="2:23" x14ac:dyDescent="0.35">
      <c r="E183" t="s">
        <v>232</v>
      </c>
      <c r="G183" s="6" t="s">
        <v>55</v>
      </c>
      <c r="H183" s="103">
        <f t="array" ref="H183">SUM(IF(ISERROR(H19:W181), 1))</f>
        <v>0</v>
      </c>
    </row>
    <row r="185" spans="2:23" x14ac:dyDescent="0.35">
      <c r="B185" s="30" t="s">
        <v>106</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93" width="24.54296875" hidden="1" customWidth="1"/>
    <col min="294" max="16384" width="8.7265625" hidden="1"/>
  </cols>
  <sheetData>
    <row r="1" spans="1:23" s="1" customFormat="1" x14ac:dyDescent="0.35">
      <c r="A1" s="1" t="str">
        <f ca="1">MID(CELL("filename",A1),FIND("]",CELL("filename",A1))+1,255)</f>
        <v>Customer contributions</v>
      </c>
    </row>
    <row r="2" spans="1:23" s="1" customFormat="1" x14ac:dyDescent="0.35">
      <c r="A2" s="1" t="str">
        <f>Cover!D21&amp;" - "&amp;Cover!D23</f>
        <v>Scottish Hydro Electric Power Distribution plc - Final_V1.1 (Updated 31-01-22)</v>
      </c>
    </row>
    <row r="3" spans="1:23" s="5" customFormat="1" x14ac:dyDescent="0.35">
      <c r="A3" s="5" t="str">
        <f>Cover!D2&amp;" - "&amp;Cover!D8&amp;" v"&amp;Cover!D10&amp;" - "&amp;Cover!D19</f>
        <v>CDCM charging model - Release for charge setting v7 - 2022/23</v>
      </c>
    </row>
    <row r="4" spans="1:23" x14ac:dyDescent="0.35">
      <c r="A4" s="12" t="str">
        <f>H70 &amp; IF(H70 = 1, " issue", " issues") &amp;" identified in checks on this sheet"</f>
        <v>0 issues identified in checks on this sheet</v>
      </c>
      <c r="B4" s="13"/>
      <c r="C4" s="13"/>
      <c r="D4" s="13"/>
      <c r="E4" s="13"/>
      <c r="F4" s="13"/>
      <c r="G4" s="13"/>
      <c r="H4" s="14"/>
      <c r="I4" s="14"/>
      <c r="J4" s="13"/>
    </row>
    <row r="5" spans="1:23" x14ac:dyDescent="0.35">
      <c r="B5" s="59" t="s">
        <v>142</v>
      </c>
      <c r="C5" s="60"/>
      <c r="D5" s="60"/>
      <c r="E5" s="60"/>
      <c r="F5" s="60"/>
      <c r="G5" s="61" t="s">
        <v>143</v>
      </c>
      <c r="H5" s="62" t="s">
        <v>144</v>
      </c>
      <c r="W5" s="61" t="s">
        <v>145</v>
      </c>
    </row>
    <row r="7" spans="1:23" x14ac:dyDescent="0.35">
      <c r="B7" s="30" t="s">
        <v>10</v>
      </c>
      <c r="C7" s="30"/>
      <c r="D7" s="30"/>
      <c r="E7" s="30"/>
      <c r="F7" s="30"/>
      <c r="G7" s="30"/>
      <c r="H7" s="30"/>
      <c r="I7" s="30"/>
      <c r="J7" s="30"/>
      <c r="K7" s="30"/>
      <c r="L7" s="30"/>
      <c r="M7" s="30"/>
      <c r="N7" s="30"/>
      <c r="O7" s="30"/>
      <c r="P7" s="30"/>
      <c r="Q7" s="30"/>
      <c r="R7" s="30"/>
      <c r="S7" s="30"/>
      <c r="T7" s="30"/>
      <c r="U7" s="30"/>
      <c r="V7" s="30"/>
      <c r="W7" s="30"/>
    </row>
    <row r="9" spans="1:23" x14ac:dyDescent="0.35">
      <c r="C9" s="29" t="s">
        <v>410</v>
      </c>
    </row>
    <row r="10" spans="1:23" x14ac:dyDescent="0.35">
      <c r="C10" s="29" t="s">
        <v>411</v>
      </c>
    </row>
    <row r="12" spans="1:23" x14ac:dyDescent="0.35">
      <c r="B12" s="30" t="s">
        <v>66</v>
      </c>
      <c r="C12" s="30"/>
      <c r="D12" s="30"/>
      <c r="E12" s="30"/>
      <c r="F12" s="30"/>
      <c r="G12" s="30"/>
      <c r="H12" s="30"/>
      <c r="I12" s="30"/>
      <c r="J12" s="30"/>
      <c r="K12" s="30"/>
      <c r="L12" s="30"/>
      <c r="M12" s="30"/>
      <c r="N12" s="30"/>
      <c r="O12" s="30"/>
      <c r="P12" s="30"/>
      <c r="Q12" s="30"/>
      <c r="R12" s="30"/>
      <c r="S12" s="30"/>
      <c r="T12" s="30"/>
      <c r="U12" s="30"/>
      <c r="V12" s="30"/>
      <c r="W12" s="30"/>
    </row>
    <row r="14" spans="1:23" x14ac:dyDescent="0.35">
      <c r="C14" s="29" t="s">
        <v>412</v>
      </c>
    </row>
    <row r="16" spans="1:23" x14ac:dyDescent="0.3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35">
      <c r="E18" s="32" t="s">
        <v>180</v>
      </c>
      <c r="H18" s="3"/>
      <c r="I18" s="3" t="s">
        <v>154</v>
      </c>
      <c r="J18" s="3"/>
      <c r="K18" s="3"/>
      <c r="L18" s="3"/>
      <c r="M18" s="3"/>
      <c r="N18" s="3"/>
      <c r="O18" s="3"/>
      <c r="P18" s="3"/>
      <c r="Q18" s="3"/>
      <c r="R18" s="3"/>
      <c r="S18" s="3"/>
      <c r="T18" s="3"/>
      <c r="U18" s="3"/>
      <c r="W18" s="3" t="s">
        <v>181</v>
      </c>
    </row>
    <row r="19" spans="5:23" x14ac:dyDescent="0.35">
      <c r="E19" s="29" t="s">
        <v>182</v>
      </c>
      <c r="H19" s="3"/>
      <c r="I19" s="3"/>
      <c r="J19" s="3"/>
      <c r="K19" s="3"/>
      <c r="L19" s="3"/>
      <c r="M19" s="3"/>
      <c r="N19" s="3"/>
      <c r="O19" s="3"/>
      <c r="P19" s="3"/>
      <c r="Q19" s="3"/>
      <c r="R19" s="3"/>
      <c r="S19" s="3"/>
      <c r="T19" s="3"/>
      <c r="U19" s="3"/>
      <c r="W19" s="3"/>
    </row>
    <row r="20" spans="5:23" x14ac:dyDescent="0.35">
      <c r="F20" s="134"/>
      <c r="G20" s="134"/>
      <c r="H20" s="135"/>
      <c r="I20" s="135"/>
      <c r="J20" s="136" t="s">
        <v>183</v>
      </c>
      <c r="K20" s="136" t="s">
        <v>184</v>
      </c>
      <c r="L20" s="136" t="s">
        <v>185</v>
      </c>
      <c r="M20" s="136" t="s">
        <v>186</v>
      </c>
      <c r="O20" s="3"/>
      <c r="P20" s="3"/>
      <c r="Q20" s="3"/>
      <c r="R20" s="3"/>
      <c r="S20" s="3"/>
      <c r="T20" s="3"/>
      <c r="U20" s="3"/>
    </row>
    <row r="21" spans="5:23" x14ac:dyDescent="0.35">
      <c r="F21" s="28" t="s">
        <v>829</v>
      </c>
      <c r="G21" s="13" t="s">
        <v>176</v>
      </c>
      <c r="H21" s="3"/>
      <c r="I21" s="3"/>
      <c r="J21" s="137">
        <f t="array" ref="J21:M36">TRANSPOSE('Fixed inputs'!J53:Y56)</f>
        <v>0</v>
      </c>
      <c r="K21" s="137">
        <v>0</v>
      </c>
      <c r="L21" s="137">
        <v>0</v>
      </c>
      <c r="M21" s="137">
        <v>1</v>
      </c>
      <c r="S21" s="3"/>
      <c r="T21" s="3"/>
      <c r="U21" s="3"/>
      <c r="W21" s="3"/>
    </row>
    <row r="22" spans="5:23" x14ac:dyDescent="0.35">
      <c r="F22" s="28" t="s">
        <v>831</v>
      </c>
      <c r="G22" s="13" t="s">
        <v>176</v>
      </c>
      <c r="H22" s="3"/>
      <c r="I22" s="3"/>
      <c r="J22" s="137">
        <v>0</v>
      </c>
      <c r="K22" s="137">
        <v>0</v>
      </c>
      <c r="L22" s="137">
        <v>0</v>
      </c>
      <c r="M22" s="137">
        <v>1</v>
      </c>
      <c r="S22" s="3"/>
      <c r="T22" s="3"/>
      <c r="U22" s="3"/>
      <c r="W22" s="3"/>
    </row>
    <row r="23" spans="5:23" x14ac:dyDescent="0.35">
      <c r="F23" s="28" t="s">
        <v>830</v>
      </c>
      <c r="G23" s="13" t="s">
        <v>176</v>
      </c>
      <c r="H23" s="3"/>
      <c r="I23" s="3"/>
      <c r="J23" s="137">
        <v>0</v>
      </c>
      <c r="K23" s="137">
        <v>0</v>
      </c>
      <c r="L23" s="137">
        <v>0</v>
      </c>
      <c r="M23" s="137">
        <v>1</v>
      </c>
      <c r="S23" s="3"/>
      <c r="T23" s="3"/>
      <c r="U23" s="3"/>
      <c r="W23" s="3"/>
    </row>
    <row r="24" spans="5:23" x14ac:dyDescent="0.35">
      <c r="F24" s="28" t="s">
        <v>832</v>
      </c>
      <c r="G24" s="13" t="s">
        <v>176</v>
      </c>
      <c r="H24" s="3"/>
      <c r="I24" s="3"/>
      <c r="J24" s="137">
        <v>0</v>
      </c>
      <c r="K24" s="137">
        <v>0</v>
      </c>
      <c r="L24" s="137">
        <v>0</v>
      </c>
      <c r="M24" s="137">
        <v>1</v>
      </c>
      <c r="S24" s="3"/>
      <c r="T24" s="3"/>
      <c r="U24" s="3"/>
      <c r="W24" s="3"/>
    </row>
    <row r="25" spans="5:23" x14ac:dyDescent="0.35">
      <c r="F25" s="28" t="s">
        <v>838</v>
      </c>
      <c r="G25" s="13" t="s">
        <v>176</v>
      </c>
      <c r="H25" s="3"/>
      <c r="I25" s="3"/>
      <c r="J25" s="137">
        <v>0</v>
      </c>
      <c r="K25" s="137">
        <v>0</v>
      </c>
      <c r="L25" s="137">
        <v>0</v>
      </c>
      <c r="M25" s="137">
        <v>1</v>
      </c>
      <c r="S25" s="3"/>
      <c r="T25" s="3"/>
      <c r="U25" s="3"/>
      <c r="W25" s="3"/>
    </row>
    <row r="26" spans="5:23" x14ac:dyDescent="0.35">
      <c r="F26" s="28" t="s">
        <v>839</v>
      </c>
      <c r="G26" s="13" t="s">
        <v>176</v>
      </c>
      <c r="H26" s="3"/>
      <c r="I26" s="3"/>
      <c r="J26" s="137">
        <v>0</v>
      </c>
      <c r="K26" s="137">
        <v>0</v>
      </c>
      <c r="L26" s="137">
        <v>1</v>
      </c>
      <c r="M26" s="137">
        <v>0</v>
      </c>
      <c r="S26" s="3"/>
      <c r="T26" s="3"/>
      <c r="U26" s="3"/>
      <c r="W26" s="3"/>
    </row>
    <row r="27" spans="5:23" x14ac:dyDescent="0.35">
      <c r="F27" s="28" t="s">
        <v>840</v>
      </c>
      <c r="G27" s="13" t="s">
        <v>176</v>
      </c>
      <c r="H27" s="3"/>
      <c r="I27" s="3"/>
      <c r="J27" s="137">
        <v>0</v>
      </c>
      <c r="K27" s="137">
        <v>1</v>
      </c>
      <c r="L27" s="137">
        <v>0</v>
      </c>
      <c r="M27" s="137">
        <v>0</v>
      </c>
      <c r="S27" s="3"/>
      <c r="T27" s="3"/>
      <c r="U27" s="3"/>
      <c r="W27" s="3"/>
    </row>
    <row r="28" spans="5:23" x14ac:dyDescent="0.35">
      <c r="F28" s="28" t="s">
        <v>841</v>
      </c>
      <c r="G28" s="13" t="s">
        <v>176</v>
      </c>
      <c r="H28" s="3"/>
      <c r="I28" s="3"/>
      <c r="J28" s="137">
        <v>0</v>
      </c>
      <c r="K28" s="137">
        <v>0</v>
      </c>
      <c r="L28" s="137">
        <v>0</v>
      </c>
      <c r="M28" s="137">
        <v>1</v>
      </c>
      <c r="S28" s="3"/>
      <c r="T28" s="3"/>
      <c r="U28" s="3"/>
      <c r="W28" s="3"/>
    </row>
    <row r="29" spans="5:23" x14ac:dyDescent="0.35">
      <c r="F29" s="28" t="s">
        <v>833</v>
      </c>
      <c r="G29" s="13" t="s">
        <v>176</v>
      </c>
      <c r="H29" s="3"/>
      <c r="I29" s="3"/>
      <c r="J29" s="137">
        <v>0</v>
      </c>
      <c r="K29" s="137">
        <v>0</v>
      </c>
      <c r="L29" s="137">
        <v>0</v>
      </c>
      <c r="M29" s="137">
        <v>1</v>
      </c>
      <c r="S29" s="3"/>
      <c r="T29" s="3"/>
      <c r="U29" s="3"/>
      <c r="W29" s="3"/>
    </row>
    <row r="30" spans="5:23" x14ac:dyDescent="0.35">
      <c r="F30" s="28" t="s">
        <v>834</v>
      </c>
      <c r="G30" s="13" t="s">
        <v>176</v>
      </c>
      <c r="H30" s="3"/>
      <c r="I30" s="3"/>
      <c r="J30" s="137">
        <v>0</v>
      </c>
      <c r="K30" s="137">
        <v>0</v>
      </c>
      <c r="L30" s="137">
        <v>1</v>
      </c>
      <c r="M30" s="137">
        <v>0</v>
      </c>
      <c r="S30" s="3"/>
      <c r="T30" s="3"/>
      <c r="U30" s="3"/>
      <c r="W30" s="3"/>
    </row>
    <row r="31" spans="5:23" x14ac:dyDescent="0.35">
      <c r="F31" s="28" t="s">
        <v>835</v>
      </c>
      <c r="G31" s="13" t="s">
        <v>176</v>
      </c>
      <c r="H31" s="3"/>
      <c r="I31" s="3"/>
      <c r="J31" s="137">
        <v>0</v>
      </c>
      <c r="K31" s="137">
        <v>0</v>
      </c>
      <c r="L31" s="137">
        <v>0</v>
      </c>
      <c r="M31" s="137">
        <v>1</v>
      </c>
      <c r="S31" s="3"/>
      <c r="T31" s="3"/>
      <c r="U31" s="3"/>
      <c r="W31" s="3"/>
    </row>
    <row r="32" spans="5:23" x14ac:dyDescent="0.35">
      <c r="F32" s="28" t="s">
        <v>844</v>
      </c>
      <c r="G32" s="13" t="s">
        <v>176</v>
      </c>
      <c r="H32" s="3"/>
      <c r="I32" s="3"/>
      <c r="J32" s="137">
        <v>0</v>
      </c>
      <c r="K32" s="137">
        <v>0</v>
      </c>
      <c r="L32" s="137">
        <v>0</v>
      </c>
      <c r="M32" s="137">
        <v>1</v>
      </c>
      <c r="S32" s="3"/>
      <c r="T32" s="3"/>
      <c r="U32" s="3"/>
      <c r="W32" s="3"/>
    </row>
    <row r="33" spans="3:23" x14ac:dyDescent="0.35">
      <c r="F33" s="28" t="s">
        <v>836</v>
      </c>
      <c r="G33" s="13" t="s">
        <v>176</v>
      </c>
      <c r="H33" s="3"/>
      <c r="I33" s="3"/>
      <c r="J33" s="137">
        <v>0</v>
      </c>
      <c r="K33" s="137">
        <v>0</v>
      </c>
      <c r="L33" s="137">
        <v>1</v>
      </c>
      <c r="M33" s="137">
        <v>0</v>
      </c>
      <c r="S33" s="3"/>
      <c r="T33" s="3"/>
      <c r="U33" s="3"/>
      <c r="W33" s="3"/>
    </row>
    <row r="34" spans="3:23" x14ac:dyDescent="0.35">
      <c r="F34" s="28" t="s">
        <v>843</v>
      </c>
      <c r="G34" s="13" t="s">
        <v>176</v>
      </c>
      <c r="H34" s="3"/>
      <c r="I34" s="3"/>
      <c r="J34" s="137">
        <v>0</v>
      </c>
      <c r="K34" s="137">
        <v>0</v>
      </c>
      <c r="L34" s="137">
        <v>1</v>
      </c>
      <c r="M34" s="137">
        <v>0</v>
      </c>
      <c r="S34" s="3"/>
      <c r="T34" s="3"/>
      <c r="U34" s="3"/>
      <c r="W34" s="3"/>
    </row>
    <row r="35" spans="3:23" x14ac:dyDescent="0.35">
      <c r="F35" s="28" t="s">
        <v>837</v>
      </c>
      <c r="G35" s="13" t="s">
        <v>176</v>
      </c>
      <c r="H35" s="3"/>
      <c r="I35" s="3"/>
      <c r="J35" s="137">
        <v>0</v>
      </c>
      <c r="K35" s="137">
        <v>1</v>
      </c>
      <c r="L35" s="137">
        <v>0</v>
      </c>
      <c r="M35" s="137">
        <v>0</v>
      </c>
      <c r="S35" s="3"/>
      <c r="T35" s="3"/>
      <c r="U35" s="3"/>
      <c r="W35" s="3"/>
    </row>
    <row r="36" spans="3:23" x14ac:dyDescent="0.35">
      <c r="F36" s="67" t="s">
        <v>842</v>
      </c>
      <c r="G36" s="86" t="s">
        <v>176</v>
      </c>
      <c r="H36" s="76"/>
      <c r="I36" s="76"/>
      <c r="J36" s="138">
        <v>0</v>
      </c>
      <c r="K36" s="138">
        <v>1</v>
      </c>
      <c r="L36" s="138">
        <v>0</v>
      </c>
      <c r="M36" s="138">
        <v>0</v>
      </c>
      <c r="S36" s="3"/>
      <c r="T36" s="3"/>
      <c r="U36" s="3"/>
      <c r="W36" s="3"/>
    </row>
    <row r="37" spans="3:23" x14ac:dyDescent="0.35">
      <c r="H37" s="3"/>
      <c r="I37" s="3"/>
      <c r="J37" s="3"/>
      <c r="K37" s="3"/>
      <c r="L37" s="3"/>
      <c r="M37" s="3"/>
      <c r="N37" s="3"/>
      <c r="O37" s="3"/>
      <c r="P37" s="3"/>
      <c r="Q37" s="3"/>
      <c r="R37" s="3"/>
      <c r="S37" s="3"/>
      <c r="T37" s="3"/>
      <c r="U37" s="3"/>
      <c r="W37" s="3"/>
    </row>
    <row r="38" spans="3:23" x14ac:dyDescent="0.3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35">
      <c r="E40" s="32" t="s">
        <v>413</v>
      </c>
      <c r="H40" s="3"/>
      <c r="I40" s="3" t="s">
        <v>154</v>
      </c>
      <c r="J40" s="3"/>
      <c r="K40" s="3"/>
      <c r="L40" s="3"/>
      <c r="M40" s="3"/>
      <c r="N40" s="3"/>
      <c r="O40" s="3"/>
      <c r="P40" s="3"/>
      <c r="Q40" s="3"/>
      <c r="R40" s="3"/>
      <c r="S40" s="3"/>
      <c r="T40" s="3"/>
      <c r="U40" s="3"/>
      <c r="W40" s="3" t="s">
        <v>414</v>
      </c>
    </row>
    <row r="41" spans="3:23" x14ac:dyDescent="0.35">
      <c r="E41" s="29" t="s">
        <v>415</v>
      </c>
      <c r="H41" s="3"/>
      <c r="I41" s="3"/>
      <c r="J41" s="3"/>
      <c r="K41" s="3"/>
      <c r="L41" s="3"/>
      <c r="M41" s="3"/>
      <c r="N41" s="3"/>
      <c r="O41" s="3"/>
      <c r="P41" s="3"/>
      <c r="Q41" s="3"/>
      <c r="R41" s="3"/>
      <c r="S41" s="3"/>
      <c r="T41" s="3"/>
      <c r="U41" s="3"/>
      <c r="W41" s="3"/>
    </row>
    <row r="42" spans="3:23" x14ac:dyDescent="0.35">
      <c r="E42" s="32"/>
      <c r="F42" s="139"/>
      <c r="G42" s="139"/>
      <c r="H42" s="139"/>
      <c r="I42" s="139"/>
      <c r="J42" s="139" t="s">
        <v>189</v>
      </c>
      <c r="K42" s="140" t="s">
        <v>191</v>
      </c>
      <c r="L42" s="140" t="s">
        <v>192</v>
      </c>
      <c r="M42" s="140" t="s">
        <v>193</v>
      </c>
      <c r="N42" s="140" t="s">
        <v>194</v>
      </c>
      <c r="O42" s="140" t="s">
        <v>195</v>
      </c>
      <c r="P42" s="140" t="s">
        <v>196</v>
      </c>
      <c r="Q42" s="140" t="s">
        <v>197</v>
      </c>
      <c r="R42" s="140" t="s">
        <v>198</v>
      </c>
      <c r="S42" s="140" t="s">
        <v>199</v>
      </c>
      <c r="T42" s="140" t="s">
        <v>376</v>
      </c>
      <c r="U42" s="140" t="s">
        <v>377</v>
      </c>
    </row>
    <row r="43" spans="3:23" x14ac:dyDescent="0.35">
      <c r="F43" s="28" t="s">
        <v>186</v>
      </c>
      <c r="G43" s="72" t="s">
        <v>167</v>
      </c>
      <c r="H43" s="3"/>
      <c r="I43" s="3"/>
      <c r="J43" s="66"/>
      <c r="K43" s="66"/>
      <c r="L43" s="25">
        <f>'Inputs by network level'!L26</f>
        <v>0</v>
      </c>
      <c r="M43" s="25">
        <f>'Inputs by network level'!M26</f>
        <v>0</v>
      </c>
      <c r="N43" s="25">
        <f>'Inputs by network level'!N26</f>
        <v>6.4338235294117696E-3</v>
      </c>
      <c r="O43" s="25">
        <f>'Inputs by network level'!O26</f>
        <v>4.1617122473246101E-3</v>
      </c>
      <c r="P43" s="25">
        <f>'Inputs by network level'!P26</f>
        <v>0</v>
      </c>
      <c r="Q43" s="25">
        <f>'Inputs by network level'!Q26</f>
        <v>0.42522380337704002</v>
      </c>
      <c r="R43" s="25">
        <f>'Inputs by network level'!R26</f>
        <v>0.78260869565217395</v>
      </c>
      <c r="S43" s="25">
        <f>'Inputs by network level'!S26</f>
        <v>0.966742252456538</v>
      </c>
      <c r="T43" s="66"/>
      <c r="U43" s="66"/>
      <c r="W43" s="3"/>
    </row>
    <row r="44" spans="3:23" x14ac:dyDescent="0.35">
      <c r="F44" s="28" t="s">
        <v>185</v>
      </c>
      <c r="G44" s="72" t="s">
        <v>167</v>
      </c>
      <c r="H44" s="3"/>
      <c r="I44" s="3"/>
      <c r="J44" s="66"/>
      <c r="K44" s="66"/>
      <c r="L44" s="25">
        <f>'Inputs by network level'!L27</f>
        <v>0</v>
      </c>
      <c r="M44" s="25">
        <f>'Inputs by network level'!M27</f>
        <v>0</v>
      </c>
      <c r="N44" s="25">
        <f>'Inputs by network level'!N27</f>
        <v>6.4338235294117696E-3</v>
      </c>
      <c r="O44" s="25">
        <f>'Inputs by network level'!O27</f>
        <v>4.1617122473246101E-3</v>
      </c>
      <c r="P44" s="25">
        <f>'Inputs by network level'!P27</f>
        <v>0</v>
      </c>
      <c r="Q44" s="25">
        <f>'Inputs by network level'!Q27</f>
        <v>0.42522380337704002</v>
      </c>
      <c r="R44" s="25">
        <f>'Inputs by network level'!R27</f>
        <v>0.78260869565217395</v>
      </c>
      <c r="S44" s="25">
        <f>'Inputs by network level'!S27</f>
        <v>0</v>
      </c>
      <c r="T44" s="66"/>
      <c r="U44" s="66"/>
      <c r="W44" s="3"/>
    </row>
    <row r="45" spans="3:23" x14ac:dyDescent="0.35">
      <c r="F45" s="28" t="s">
        <v>184</v>
      </c>
      <c r="G45" s="72" t="s">
        <v>167</v>
      </c>
      <c r="H45" s="3"/>
      <c r="I45" s="3"/>
      <c r="J45" s="66"/>
      <c r="K45" s="66"/>
      <c r="L45" s="25">
        <f>'Inputs by network level'!L28</f>
        <v>0</v>
      </c>
      <c r="M45" s="25">
        <f>'Inputs by network level'!M28</f>
        <v>0</v>
      </c>
      <c r="N45" s="25">
        <f>'Inputs by network level'!N28</f>
        <v>1.16978609625668E-2</v>
      </c>
      <c r="O45" s="25">
        <f>'Inputs by network level'!O28</f>
        <v>7.56674954059021E-3</v>
      </c>
      <c r="P45" s="25">
        <f>'Inputs by network level'!P28</f>
        <v>0</v>
      </c>
      <c r="Q45" s="25">
        <f>'Inputs by network level'!Q28</f>
        <v>0.38896884219615702</v>
      </c>
      <c r="R45" s="25">
        <f>'Inputs by network level'!R28</f>
        <v>0</v>
      </c>
      <c r="S45" s="25">
        <f>'Inputs by network level'!S28</f>
        <v>0</v>
      </c>
      <c r="T45" s="66"/>
      <c r="U45" s="66"/>
      <c r="W45" s="3"/>
    </row>
    <row r="46" spans="3:23" x14ac:dyDescent="0.35">
      <c r="F46" s="67" t="s">
        <v>183</v>
      </c>
      <c r="G46" s="80" t="s">
        <v>167</v>
      </c>
      <c r="H46" s="76"/>
      <c r="I46" s="76"/>
      <c r="J46" s="68"/>
      <c r="K46" s="68"/>
      <c r="L46" s="141">
        <f>'Inputs by network level'!L29</f>
        <v>0</v>
      </c>
      <c r="M46" s="141">
        <f>'Inputs by network level'!M29</f>
        <v>0</v>
      </c>
      <c r="N46" s="141">
        <f>'Inputs by network level'!N29</f>
        <v>1.16978609625668E-2</v>
      </c>
      <c r="O46" s="141">
        <f>'Inputs by network level'!O29</f>
        <v>7.56674954059021E-3</v>
      </c>
      <c r="P46" s="141">
        <f>'Inputs by network level'!P29</f>
        <v>0</v>
      </c>
      <c r="Q46" s="141">
        <f>'Inputs by network level'!Q29</f>
        <v>0</v>
      </c>
      <c r="R46" s="141">
        <f>'Inputs by network level'!R29</f>
        <v>0</v>
      </c>
      <c r="S46" s="141">
        <f>'Inputs by network level'!S29</f>
        <v>0</v>
      </c>
      <c r="T46" s="68"/>
      <c r="U46" s="68"/>
      <c r="W46" s="3"/>
    </row>
    <row r="47" spans="3:23" x14ac:dyDescent="0.35">
      <c r="G47" s="13"/>
      <c r="H47" s="3"/>
      <c r="I47" s="3"/>
      <c r="J47" s="3"/>
      <c r="K47" s="3"/>
      <c r="L47" s="3"/>
      <c r="M47" s="3"/>
      <c r="N47" s="3"/>
      <c r="O47" s="3"/>
      <c r="P47" s="3"/>
      <c r="Q47" s="3"/>
      <c r="R47" s="3"/>
      <c r="S47" s="3"/>
      <c r="T47" s="3"/>
      <c r="U47" s="3"/>
      <c r="W47" s="3"/>
    </row>
    <row r="48" spans="3:23" x14ac:dyDescent="0.35">
      <c r="E48" s="32" t="s">
        <v>416</v>
      </c>
      <c r="H48" s="13"/>
      <c r="I48" s="3"/>
      <c r="J48" s="3"/>
      <c r="K48" s="3"/>
      <c r="L48" s="3"/>
      <c r="M48" s="3"/>
      <c r="N48" s="3"/>
      <c r="O48" s="3"/>
      <c r="P48" s="3"/>
      <c r="Q48" s="3"/>
      <c r="R48" s="3"/>
      <c r="S48" s="3"/>
      <c r="T48" s="3"/>
      <c r="U48" s="3"/>
      <c r="W48" s="3"/>
    </row>
    <row r="49" spans="5:23" x14ac:dyDescent="0.35">
      <c r="E49" s="29" t="s">
        <v>417</v>
      </c>
      <c r="H49" s="13"/>
      <c r="I49" s="3"/>
      <c r="J49" s="3"/>
      <c r="K49" s="3"/>
      <c r="L49" s="3"/>
      <c r="M49" s="3"/>
      <c r="N49" s="3"/>
      <c r="O49" s="3"/>
      <c r="P49" s="3"/>
      <c r="Q49" s="3"/>
      <c r="R49" s="3"/>
      <c r="S49" s="3"/>
      <c r="T49" s="3"/>
      <c r="U49" s="3"/>
      <c r="W49" s="3"/>
    </row>
    <row r="50" spans="5:23" x14ac:dyDescent="0.35">
      <c r="F50" s="139"/>
      <c r="G50" s="139"/>
      <c r="H50" s="142"/>
      <c r="I50" s="139"/>
      <c r="J50" s="139" t="s">
        <v>189</v>
      </c>
      <c r="K50" s="140" t="s">
        <v>191</v>
      </c>
      <c r="L50" s="140" t="s">
        <v>192</v>
      </c>
      <c r="M50" s="140" t="s">
        <v>193</v>
      </c>
      <c r="N50" s="140" t="s">
        <v>194</v>
      </c>
      <c r="O50" s="140" t="s">
        <v>195</v>
      </c>
      <c r="P50" s="140" t="s">
        <v>196</v>
      </c>
      <c r="Q50" s="140" t="s">
        <v>197</v>
      </c>
      <c r="R50" s="140" t="s">
        <v>198</v>
      </c>
      <c r="S50" s="140" t="s">
        <v>199</v>
      </c>
      <c r="T50" s="140" t="s">
        <v>376</v>
      </c>
      <c r="U50" s="140" t="s">
        <v>377</v>
      </c>
      <c r="W50" s="3"/>
    </row>
    <row r="51" spans="5:23" x14ac:dyDescent="0.35">
      <c r="F51" s="28" t="s">
        <v>829</v>
      </c>
      <c r="G51" s="28"/>
      <c r="H51" s="72" t="s">
        <v>167</v>
      </c>
      <c r="J51" s="70"/>
      <c r="K51" s="70"/>
      <c r="L51" s="111">
        <f t="shared" ref="L51:S60" si="0">$M21 * L$43 + $L21 * L$44 + $K21 * L$45 + $J21 * L$46</f>
        <v>0</v>
      </c>
      <c r="M51" s="111">
        <f t="shared" si="0"/>
        <v>0</v>
      </c>
      <c r="N51" s="111">
        <f t="shared" si="0"/>
        <v>6.4338235294117696E-3</v>
      </c>
      <c r="O51" s="111">
        <f t="shared" si="0"/>
        <v>4.1617122473246101E-3</v>
      </c>
      <c r="P51" s="111">
        <f t="shared" si="0"/>
        <v>0</v>
      </c>
      <c r="Q51" s="111">
        <f t="shared" si="0"/>
        <v>0.42522380337704002</v>
      </c>
      <c r="R51" s="111">
        <f t="shared" si="0"/>
        <v>0.78260869565217395</v>
      </c>
      <c r="S51" s="111">
        <f t="shared" si="0"/>
        <v>0.966742252456538</v>
      </c>
      <c r="T51" s="70"/>
      <c r="U51" s="70"/>
    </row>
    <row r="52" spans="5:23" x14ac:dyDescent="0.35">
      <c r="F52" s="28" t="s">
        <v>831</v>
      </c>
      <c r="G52" s="28"/>
      <c r="H52" s="72" t="s">
        <v>167</v>
      </c>
      <c r="J52" s="70"/>
      <c r="K52" s="70"/>
      <c r="L52" s="111">
        <f t="shared" si="0"/>
        <v>0</v>
      </c>
      <c r="M52" s="111">
        <f t="shared" si="0"/>
        <v>0</v>
      </c>
      <c r="N52" s="111">
        <f t="shared" si="0"/>
        <v>6.4338235294117696E-3</v>
      </c>
      <c r="O52" s="111">
        <f t="shared" si="0"/>
        <v>4.1617122473246101E-3</v>
      </c>
      <c r="P52" s="111">
        <f t="shared" si="0"/>
        <v>0</v>
      </c>
      <c r="Q52" s="111">
        <f t="shared" si="0"/>
        <v>0.42522380337704002</v>
      </c>
      <c r="R52" s="111">
        <f t="shared" si="0"/>
        <v>0.78260869565217395</v>
      </c>
      <c r="S52" s="111">
        <f t="shared" si="0"/>
        <v>0.966742252456538</v>
      </c>
      <c r="T52" s="70"/>
      <c r="U52" s="70"/>
    </row>
    <row r="53" spans="5:23" x14ac:dyDescent="0.35">
      <c r="F53" s="28" t="s">
        <v>830</v>
      </c>
      <c r="G53" s="28"/>
      <c r="H53" s="72" t="s">
        <v>167</v>
      </c>
      <c r="J53" s="70"/>
      <c r="K53" s="70"/>
      <c r="L53" s="111">
        <f t="shared" si="0"/>
        <v>0</v>
      </c>
      <c r="M53" s="111">
        <f t="shared" si="0"/>
        <v>0</v>
      </c>
      <c r="N53" s="111">
        <f t="shared" si="0"/>
        <v>6.4338235294117696E-3</v>
      </c>
      <c r="O53" s="111">
        <f t="shared" si="0"/>
        <v>4.1617122473246101E-3</v>
      </c>
      <c r="P53" s="111">
        <f t="shared" si="0"/>
        <v>0</v>
      </c>
      <c r="Q53" s="111">
        <f t="shared" si="0"/>
        <v>0.42522380337704002</v>
      </c>
      <c r="R53" s="111">
        <f t="shared" si="0"/>
        <v>0.78260869565217395</v>
      </c>
      <c r="S53" s="111">
        <f t="shared" si="0"/>
        <v>0.966742252456538</v>
      </c>
      <c r="T53" s="70"/>
      <c r="U53" s="70"/>
    </row>
    <row r="54" spans="5:23" x14ac:dyDescent="0.35">
      <c r="F54" s="28" t="s">
        <v>832</v>
      </c>
      <c r="G54" s="28"/>
      <c r="H54" s="72" t="s">
        <v>167</v>
      </c>
      <c r="J54" s="70"/>
      <c r="K54" s="70"/>
      <c r="L54" s="111">
        <f t="shared" si="0"/>
        <v>0</v>
      </c>
      <c r="M54" s="111">
        <f t="shared" si="0"/>
        <v>0</v>
      </c>
      <c r="N54" s="111">
        <f t="shared" si="0"/>
        <v>6.4338235294117696E-3</v>
      </c>
      <c r="O54" s="111">
        <f t="shared" si="0"/>
        <v>4.1617122473246101E-3</v>
      </c>
      <c r="P54" s="111">
        <f t="shared" si="0"/>
        <v>0</v>
      </c>
      <c r="Q54" s="111">
        <f t="shared" si="0"/>
        <v>0.42522380337704002</v>
      </c>
      <c r="R54" s="111">
        <f t="shared" si="0"/>
        <v>0.78260869565217395</v>
      </c>
      <c r="S54" s="111">
        <f t="shared" si="0"/>
        <v>0.966742252456538</v>
      </c>
      <c r="T54" s="70"/>
      <c r="U54" s="70"/>
    </row>
    <row r="55" spans="5:23" x14ac:dyDescent="0.35">
      <c r="F55" s="28" t="s">
        <v>838</v>
      </c>
      <c r="G55" s="28"/>
      <c r="H55" s="72" t="s">
        <v>167</v>
      </c>
      <c r="J55" s="70"/>
      <c r="K55" s="70"/>
      <c r="L55" s="111">
        <f t="shared" si="0"/>
        <v>0</v>
      </c>
      <c r="M55" s="111">
        <f t="shared" si="0"/>
        <v>0</v>
      </c>
      <c r="N55" s="111">
        <f t="shared" si="0"/>
        <v>6.4338235294117696E-3</v>
      </c>
      <c r="O55" s="111">
        <f t="shared" si="0"/>
        <v>4.1617122473246101E-3</v>
      </c>
      <c r="P55" s="111">
        <f t="shared" si="0"/>
        <v>0</v>
      </c>
      <c r="Q55" s="111">
        <f t="shared" si="0"/>
        <v>0.42522380337704002</v>
      </c>
      <c r="R55" s="111">
        <f t="shared" si="0"/>
        <v>0.78260869565217395</v>
      </c>
      <c r="S55" s="111">
        <f t="shared" si="0"/>
        <v>0.966742252456538</v>
      </c>
      <c r="T55" s="70"/>
      <c r="U55" s="70"/>
    </row>
    <row r="56" spans="5:23" x14ac:dyDescent="0.35">
      <c r="F56" s="28" t="s">
        <v>839</v>
      </c>
      <c r="G56" s="28"/>
      <c r="H56" s="72" t="s">
        <v>167</v>
      </c>
      <c r="J56" s="70"/>
      <c r="K56" s="70"/>
      <c r="L56" s="111">
        <f t="shared" si="0"/>
        <v>0</v>
      </c>
      <c r="M56" s="111">
        <f t="shared" si="0"/>
        <v>0</v>
      </c>
      <c r="N56" s="111">
        <f t="shared" si="0"/>
        <v>6.4338235294117696E-3</v>
      </c>
      <c r="O56" s="111">
        <f t="shared" si="0"/>
        <v>4.1617122473246101E-3</v>
      </c>
      <c r="P56" s="111">
        <f t="shared" si="0"/>
        <v>0</v>
      </c>
      <c r="Q56" s="111">
        <f t="shared" si="0"/>
        <v>0.42522380337704002</v>
      </c>
      <c r="R56" s="111">
        <f t="shared" si="0"/>
        <v>0.78260869565217395</v>
      </c>
      <c r="S56" s="111">
        <f t="shared" si="0"/>
        <v>0</v>
      </c>
      <c r="T56" s="70"/>
      <c r="U56" s="70"/>
    </row>
    <row r="57" spans="5:23" x14ac:dyDescent="0.35">
      <c r="F57" s="28" t="s">
        <v>840</v>
      </c>
      <c r="G57" s="28"/>
      <c r="H57" s="72" t="s">
        <v>167</v>
      </c>
      <c r="J57" s="70"/>
      <c r="K57" s="70"/>
      <c r="L57" s="111">
        <f t="shared" si="0"/>
        <v>0</v>
      </c>
      <c r="M57" s="111">
        <f t="shared" si="0"/>
        <v>0</v>
      </c>
      <c r="N57" s="111">
        <f t="shared" si="0"/>
        <v>1.16978609625668E-2</v>
      </c>
      <c r="O57" s="111">
        <f t="shared" si="0"/>
        <v>7.56674954059021E-3</v>
      </c>
      <c r="P57" s="111">
        <f t="shared" si="0"/>
        <v>0</v>
      </c>
      <c r="Q57" s="111">
        <f t="shared" si="0"/>
        <v>0.38896884219615702</v>
      </c>
      <c r="R57" s="111">
        <f t="shared" si="0"/>
        <v>0</v>
      </c>
      <c r="S57" s="111">
        <f t="shared" si="0"/>
        <v>0</v>
      </c>
      <c r="T57" s="70"/>
      <c r="U57" s="70"/>
    </row>
    <row r="58" spans="5:23" x14ac:dyDescent="0.35">
      <c r="F58" s="28" t="s">
        <v>841</v>
      </c>
      <c r="G58" s="28"/>
      <c r="H58" s="72" t="s">
        <v>167</v>
      </c>
      <c r="J58" s="70"/>
      <c r="K58" s="70"/>
      <c r="L58" s="111">
        <f t="shared" si="0"/>
        <v>0</v>
      </c>
      <c r="M58" s="111">
        <f t="shared" si="0"/>
        <v>0</v>
      </c>
      <c r="N58" s="111">
        <f t="shared" si="0"/>
        <v>6.4338235294117696E-3</v>
      </c>
      <c r="O58" s="111">
        <f t="shared" si="0"/>
        <v>4.1617122473246101E-3</v>
      </c>
      <c r="P58" s="111">
        <f t="shared" si="0"/>
        <v>0</v>
      </c>
      <c r="Q58" s="111">
        <f t="shared" si="0"/>
        <v>0.42522380337704002</v>
      </c>
      <c r="R58" s="111">
        <f t="shared" si="0"/>
        <v>0.78260869565217395</v>
      </c>
      <c r="S58" s="111">
        <f t="shared" si="0"/>
        <v>0.966742252456538</v>
      </c>
      <c r="T58" s="70"/>
      <c r="U58" s="70"/>
    </row>
    <row r="59" spans="5:23" x14ac:dyDescent="0.35">
      <c r="F59" s="28" t="s">
        <v>833</v>
      </c>
      <c r="G59" s="28"/>
      <c r="H59" s="72" t="s">
        <v>167</v>
      </c>
      <c r="J59" s="70"/>
      <c r="K59" s="70"/>
      <c r="L59" s="111">
        <f t="shared" si="0"/>
        <v>0</v>
      </c>
      <c r="M59" s="111">
        <f t="shared" si="0"/>
        <v>0</v>
      </c>
      <c r="N59" s="111">
        <f t="shared" si="0"/>
        <v>6.4338235294117696E-3</v>
      </c>
      <c r="O59" s="111">
        <f t="shared" si="0"/>
        <v>4.1617122473246101E-3</v>
      </c>
      <c r="P59" s="111">
        <f t="shared" si="0"/>
        <v>0</v>
      </c>
      <c r="Q59" s="111">
        <f t="shared" si="0"/>
        <v>0.42522380337704002</v>
      </c>
      <c r="R59" s="111">
        <f t="shared" si="0"/>
        <v>0.78260869565217395</v>
      </c>
      <c r="S59" s="111">
        <f t="shared" si="0"/>
        <v>0.966742252456538</v>
      </c>
      <c r="T59" s="70"/>
      <c r="U59" s="70"/>
    </row>
    <row r="60" spans="5:23" x14ac:dyDescent="0.35">
      <c r="F60" s="28" t="s">
        <v>834</v>
      </c>
      <c r="G60" s="28"/>
      <c r="H60" s="72" t="s">
        <v>167</v>
      </c>
      <c r="J60" s="70"/>
      <c r="K60" s="70"/>
      <c r="L60" s="111">
        <f t="shared" si="0"/>
        <v>0</v>
      </c>
      <c r="M60" s="111">
        <f t="shared" si="0"/>
        <v>0</v>
      </c>
      <c r="N60" s="111">
        <f t="shared" si="0"/>
        <v>6.4338235294117696E-3</v>
      </c>
      <c r="O60" s="111">
        <f t="shared" si="0"/>
        <v>4.1617122473246101E-3</v>
      </c>
      <c r="P60" s="111">
        <f t="shared" si="0"/>
        <v>0</v>
      </c>
      <c r="Q60" s="111">
        <f t="shared" si="0"/>
        <v>0.42522380337704002</v>
      </c>
      <c r="R60" s="111">
        <f t="shared" si="0"/>
        <v>0.78260869565217395</v>
      </c>
      <c r="S60" s="111">
        <f t="shared" si="0"/>
        <v>0</v>
      </c>
      <c r="T60" s="70"/>
      <c r="U60" s="70"/>
    </row>
    <row r="61" spans="5:23" x14ac:dyDescent="0.35">
      <c r="F61" s="28" t="s">
        <v>835</v>
      </c>
      <c r="G61" s="28"/>
      <c r="H61" s="72" t="s">
        <v>167</v>
      </c>
      <c r="J61" s="70"/>
      <c r="K61" s="70"/>
      <c r="L61" s="111">
        <f t="shared" ref="L61:S66" si="1">$M31 * L$43 + $L31 * L$44 + $K31 * L$45 + $J31 * L$46</f>
        <v>0</v>
      </c>
      <c r="M61" s="111">
        <f t="shared" si="1"/>
        <v>0</v>
      </c>
      <c r="N61" s="111">
        <f t="shared" si="1"/>
        <v>6.4338235294117696E-3</v>
      </c>
      <c r="O61" s="111">
        <f t="shared" si="1"/>
        <v>4.1617122473246101E-3</v>
      </c>
      <c r="P61" s="111">
        <f t="shared" si="1"/>
        <v>0</v>
      </c>
      <c r="Q61" s="111">
        <f t="shared" si="1"/>
        <v>0.42522380337704002</v>
      </c>
      <c r="R61" s="111">
        <f t="shared" si="1"/>
        <v>0.78260869565217395</v>
      </c>
      <c r="S61" s="111">
        <f t="shared" si="1"/>
        <v>0.966742252456538</v>
      </c>
      <c r="T61" s="70"/>
      <c r="U61" s="70"/>
    </row>
    <row r="62" spans="5:23" x14ac:dyDescent="0.35">
      <c r="F62" s="28" t="s">
        <v>844</v>
      </c>
      <c r="G62" s="28"/>
      <c r="H62" s="72" t="s">
        <v>167</v>
      </c>
      <c r="J62" s="70"/>
      <c r="K62" s="70"/>
      <c r="L62" s="111">
        <f t="shared" si="1"/>
        <v>0</v>
      </c>
      <c r="M62" s="111">
        <f t="shared" si="1"/>
        <v>0</v>
      </c>
      <c r="N62" s="111">
        <f t="shared" si="1"/>
        <v>6.4338235294117696E-3</v>
      </c>
      <c r="O62" s="111">
        <f t="shared" si="1"/>
        <v>4.1617122473246101E-3</v>
      </c>
      <c r="P62" s="111">
        <f t="shared" si="1"/>
        <v>0</v>
      </c>
      <c r="Q62" s="111">
        <f t="shared" si="1"/>
        <v>0.42522380337704002</v>
      </c>
      <c r="R62" s="111">
        <f t="shared" si="1"/>
        <v>0.78260869565217395</v>
      </c>
      <c r="S62" s="111">
        <f t="shared" si="1"/>
        <v>0.966742252456538</v>
      </c>
      <c r="T62" s="70"/>
      <c r="U62" s="70"/>
    </row>
    <row r="63" spans="5:23" x14ac:dyDescent="0.35">
      <c r="F63" s="28" t="s">
        <v>836</v>
      </c>
      <c r="G63" s="28"/>
      <c r="H63" s="72" t="s">
        <v>167</v>
      </c>
      <c r="J63" s="70"/>
      <c r="K63" s="70"/>
      <c r="L63" s="111">
        <f t="shared" si="1"/>
        <v>0</v>
      </c>
      <c r="M63" s="111">
        <f t="shared" si="1"/>
        <v>0</v>
      </c>
      <c r="N63" s="111">
        <f t="shared" si="1"/>
        <v>6.4338235294117696E-3</v>
      </c>
      <c r="O63" s="111">
        <f t="shared" si="1"/>
        <v>4.1617122473246101E-3</v>
      </c>
      <c r="P63" s="111">
        <f t="shared" si="1"/>
        <v>0</v>
      </c>
      <c r="Q63" s="111">
        <f t="shared" si="1"/>
        <v>0.42522380337704002</v>
      </c>
      <c r="R63" s="111">
        <f t="shared" si="1"/>
        <v>0.78260869565217395</v>
      </c>
      <c r="S63" s="111">
        <f t="shared" si="1"/>
        <v>0</v>
      </c>
      <c r="T63" s="70"/>
      <c r="U63" s="70"/>
    </row>
    <row r="64" spans="5:23" x14ac:dyDescent="0.35">
      <c r="F64" s="28" t="s">
        <v>843</v>
      </c>
      <c r="G64" s="28"/>
      <c r="H64" s="72" t="s">
        <v>167</v>
      </c>
      <c r="J64" s="70"/>
      <c r="K64" s="70"/>
      <c r="L64" s="111">
        <f t="shared" si="1"/>
        <v>0</v>
      </c>
      <c r="M64" s="111">
        <f t="shared" si="1"/>
        <v>0</v>
      </c>
      <c r="N64" s="111">
        <f t="shared" si="1"/>
        <v>6.4338235294117696E-3</v>
      </c>
      <c r="O64" s="111">
        <f t="shared" si="1"/>
        <v>4.1617122473246101E-3</v>
      </c>
      <c r="P64" s="111">
        <f t="shared" si="1"/>
        <v>0</v>
      </c>
      <c r="Q64" s="111">
        <f t="shared" si="1"/>
        <v>0.42522380337704002</v>
      </c>
      <c r="R64" s="111">
        <f t="shared" si="1"/>
        <v>0.78260869565217395</v>
      </c>
      <c r="S64" s="111">
        <f t="shared" si="1"/>
        <v>0</v>
      </c>
      <c r="T64" s="70"/>
      <c r="U64" s="70"/>
    </row>
    <row r="65" spans="2:23" x14ac:dyDescent="0.35">
      <c r="F65" s="28" t="s">
        <v>837</v>
      </c>
      <c r="G65" s="28"/>
      <c r="H65" s="72" t="s">
        <v>167</v>
      </c>
      <c r="J65" s="70"/>
      <c r="K65" s="70"/>
      <c r="L65" s="111">
        <f t="shared" si="1"/>
        <v>0</v>
      </c>
      <c r="M65" s="111">
        <f t="shared" si="1"/>
        <v>0</v>
      </c>
      <c r="N65" s="111">
        <f t="shared" si="1"/>
        <v>1.16978609625668E-2</v>
      </c>
      <c r="O65" s="111">
        <f t="shared" si="1"/>
        <v>7.56674954059021E-3</v>
      </c>
      <c r="P65" s="111">
        <f t="shared" si="1"/>
        <v>0</v>
      </c>
      <c r="Q65" s="111">
        <f t="shared" si="1"/>
        <v>0.38896884219615702</v>
      </c>
      <c r="R65" s="111">
        <f t="shared" si="1"/>
        <v>0</v>
      </c>
      <c r="S65" s="111">
        <f t="shared" si="1"/>
        <v>0</v>
      </c>
      <c r="T65" s="70"/>
      <c r="U65" s="70"/>
    </row>
    <row r="66" spans="2:23" x14ac:dyDescent="0.35">
      <c r="F66" s="67" t="s">
        <v>842</v>
      </c>
      <c r="G66" s="67"/>
      <c r="H66" s="80" t="s">
        <v>167</v>
      </c>
      <c r="I66" s="37"/>
      <c r="J66" s="71"/>
      <c r="K66" s="71"/>
      <c r="L66" s="143">
        <f t="shared" si="1"/>
        <v>0</v>
      </c>
      <c r="M66" s="143">
        <f t="shared" si="1"/>
        <v>0</v>
      </c>
      <c r="N66" s="143">
        <f t="shared" si="1"/>
        <v>1.16978609625668E-2</v>
      </c>
      <c r="O66" s="143">
        <f t="shared" si="1"/>
        <v>7.56674954059021E-3</v>
      </c>
      <c r="P66" s="143">
        <f t="shared" si="1"/>
        <v>0</v>
      </c>
      <c r="Q66" s="143">
        <f t="shared" si="1"/>
        <v>0.38896884219615702</v>
      </c>
      <c r="R66" s="143">
        <f t="shared" si="1"/>
        <v>0</v>
      </c>
      <c r="S66" s="143">
        <f t="shared" si="1"/>
        <v>0</v>
      </c>
      <c r="T66" s="71"/>
      <c r="U66" s="71"/>
    </row>
    <row r="68" spans="2:23" x14ac:dyDescent="0.35">
      <c r="B68" s="30" t="s">
        <v>231</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35">
      <c r="E70" t="s">
        <v>232</v>
      </c>
      <c r="G70" s="6" t="s">
        <v>55</v>
      </c>
      <c r="H70" s="103">
        <f t="array" ref="H70">SUM(IF(ISERROR(H21:U66), 1))</f>
        <v>0</v>
      </c>
    </row>
    <row r="72" spans="2:23" x14ac:dyDescent="0.35">
      <c r="B72" s="30" t="s">
        <v>106</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7265625" hidden="1"/>
  </cols>
  <sheetData>
    <row r="1" spans="1:43" s="1" customFormat="1" x14ac:dyDescent="0.35">
      <c r="A1" s="1" t="str">
        <f ca="1">MID(CELL("filename",A1),FIND("]",CELL("filename",A1))+1,255)</f>
        <v>Volume adjustments</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H693 &amp; IF(H693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5">
      <c r="C9" s="29" t="s">
        <v>418</v>
      </c>
    </row>
    <row r="10" spans="1:43" x14ac:dyDescent="0.35">
      <c r="C10" s="29" t="s">
        <v>419</v>
      </c>
    </row>
    <row r="11" spans="1:43" x14ac:dyDescent="0.35">
      <c r="C11" s="29" t="s">
        <v>420</v>
      </c>
    </row>
    <row r="13" spans="1:43" x14ac:dyDescent="0.35">
      <c r="B13" s="30" t="s">
        <v>421</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35">
      <c r="C14" s="29"/>
    </row>
    <row r="15" spans="1:43" x14ac:dyDescent="0.3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35">
      <c r="C16" s="29"/>
    </row>
    <row r="17" spans="4:43" x14ac:dyDescent="0.35">
      <c r="D17" s="29" t="s">
        <v>422</v>
      </c>
    </row>
    <row r="18" spans="4:43" x14ac:dyDescent="0.35">
      <c r="D18" s="29" t="s">
        <v>423</v>
      </c>
    </row>
    <row r="19" spans="4:43" x14ac:dyDescent="0.35">
      <c r="D19" s="29"/>
    </row>
    <row r="20" spans="4:43" x14ac:dyDescent="0.35">
      <c r="E20" s="88" t="s">
        <v>424</v>
      </c>
      <c r="I20" t="s">
        <v>154</v>
      </c>
      <c r="J20" s="63"/>
      <c r="K20" s="63"/>
      <c r="L20" s="63"/>
      <c r="M20" s="63"/>
      <c r="N20" s="63"/>
      <c r="O20" s="63"/>
      <c r="P20" s="63"/>
      <c r="Q20" s="63"/>
      <c r="R20" s="63"/>
      <c r="S20" s="63"/>
      <c r="T20" s="63"/>
      <c r="U20" s="63"/>
      <c r="V20" s="63"/>
      <c r="W20" s="63"/>
      <c r="X20" s="63"/>
      <c r="Y20" s="63"/>
    </row>
    <row r="21" spans="4:43" x14ac:dyDescent="0.35">
      <c r="E21" s="29" t="s">
        <v>425</v>
      </c>
      <c r="AA21" t="s">
        <v>426</v>
      </c>
    </row>
    <row r="22" spans="4:43" x14ac:dyDescent="0.35">
      <c r="F22" s="23" t="s">
        <v>175</v>
      </c>
      <c r="G22" s="23" t="s">
        <v>167</v>
      </c>
      <c r="H22" s="107">
        <f>'General inputs'!H30</f>
        <v>0.29370961868251882</v>
      </c>
      <c r="AQ22" s="3"/>
    </row>
    <row r="23" spans="4:43" x14ac:dyDescent="0.35">
      <c r="F23" t="s">
        <v>177</v>
      </c>
      <c r="G23" t="s">
        <v>167</v>
      </c>
      <c r="H23" s="25">
        <f>'General inputs'!H31</f>
        <v>0.53256520183821399</v>
      </c>
      <c r="AQ23" s="3"/>
    </row>
    <row r="24" spans="4:43" x14ac:dyDescent="0.35">
      <c r="F24" t="s">
        <v>178</v>
      </c>
      <c r="G24" t="s">
        <v>167</v>
      </c>
      <c r="H24" s="25">
        <f>'General inputs'!H32</f>
        <v>0.32519003293204285</v>
      </c>
      <c r="AQ24" s="3"/>
    </row>
    <row r="25" spans="4:43" x14ac:dyDescent="0.35">
      <c r="F25" s="37" t="s">
        <v>179</v>
      </c>
      <c r="G25" s="37" t="s">
        <v>167</v>
      </c>
      <c r="H25" s="141">
        <f>'General inputs'!H33</f>
        <v>0.26241459087249852</v>
      </c>
      <c r="AQ25" s="3"/>
    </row>
    <row r="27" spans="4:43" x14ac:dyDescent="0.35">
      <c r="E27" s="32" t="s">
        <v>427</v>
      </c>
      <c r="I27" t="s">
        <v>154</v>
      </c>
      <c r="AA27" t="s">
        <v>428</v>
      </c>
      <c r="AQ27" s="3"/>
    </row>
    <row r="28" spans="4:43" x14ac:dyDescent="0.35">
      <c r="E28" s="29" t="s">
        <v>429</v>
      </c>
    </row>
    <row r="29" spans="4:43" x14ac:dyDescent="0.35">
      <c r="E29" s="29" t="s">
        <v>430</v>
      </c>
    </row>
    <row r="30" spans="4:43" x14ac:dyDescent="0.35">
      <c r="F30" s="23" t="s">
        <v>175</v>
      </c>
      <c r="G30" s="23" t="s">
        <v>176</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35">
      <c r="F31" t="s">
        <v>177</v>
      </c>
      <c r="G31" t="s">
        <v>176</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35">
      <c r="F32" t="s">
        <v>178</v>
      </c>
      <c r="G32" t="s">
        <v>176</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35">
      <c r="F33" s="37" t="s">
        <v>179</v>
      </c>
      <c r="G33" s="37" t="s">
        <v>176</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35">
      <c r="F34" s="28" t="s">
        <v>431</v>
      </c>
      <c r="G34" s="28" t="s">
        <v>167</v>
      </c>
      <c r="J34" s="145">
        <f t="shared" ref="J34:Y34" si="0">J30 * $H$22</f>
        <v>0.29370961868251882</v>
      </c>
      <c r="K34" s="145">
        <f t="shared" si="0"/>
        <v>0.29370961868251882</v>
      </c>
      <c r="L34" s="145">
        <f t="shared" si="0"/>
        <v>0.29370961868251882</v>
      </c>
      <c r="M34" s="145">
        <f t="shared" si="0"/>
        <v>0.29370961868251882</v>
      </c>
      <c r="N34" s="145">
        <f t="shared" si="0"/>
        <v>0.29370961868251882</v>
      </c>
      <c r="O34" s="145">
        <f t="shared" si="0"/>
        <v>0</v>
      </c>
      <c r="P34" s="145">
        <f t="shared" si="0"/>
        <v>0</v>
      </c>
      <c r="Q34" s="145">
        <f t="shared" si="0"/>
        <v>0.29370961868251882</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35">
      <c r="F35" s="28" t="s">
        <v>432</v>
      </c>
      <c r="G35" s="28" t="s">
        <v>167</v>
      </c>
      <c r="J35" s="145">
        <f t="shared" ref="J35:Y35" si="1">SUMPRODUCT(J31:J33,$H$23:$H$25)</f>
        <v>0.53256520183821399</v>
      </c>
      <c r="K35" s="145">
        <f t="shared" si="1"/>
        <v>0.53256520183821399</v>
      </c>
      <c r="L35" s="145">
        <f t="shared" si="1"/>
        <v>0.53256520183821399</v>
      </c>
      <c r="M35" s="145">
        <f t="shared" si="1"/>
        <v>0.53256520183821399</v>
      </c>
      <c r="N35" s="145">
        <f t="shared" si="1"/>
        <v>0.53256520183821399</v>
      </c>
      <c r="O35" s="145">
        <f t="shared" si="1"/>
        <v>0.32519003293204285</v>
      </c>
      <c r="P35" s="145">
        <f t="shared" si="1"/>
        <v>0.26241459087249852</v>
      </c>
      <c r="Q35" s="145">
        <f t="shared" si="1"/>
        <v>0.53256520183821399</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35">
      <c r="D36" s="32"/>
      <c r="AQ36" s="3"/>
    </row>
    <row r="37" spans="4:43" x14ac:dyDescent="0.35">
      <c r="E37" s="32" t="s">
        <v>433</v>
      </c>
      <c r="I37" t="s">
        <v>154</v>
      </c>
      <c r="AA37" t="s">
        <v>428</v>
      </c>
      <c r="AQ37" s="3"/>
    </row>
    <row r="38" spans="4:43" x14ac:dyDescent="0.35">
      <c r="E38" s="29" t="s">
        <v>434</v>
      </c>
    </row>
    <row r="39" spans="4:43" x14ac:dyDescent="0.35">
      <c r="F39" s="28" t="s">
        <v>435</v>
      </c>
      <c r="G39" s="28" t="s">
        <v>209</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35">
      <c r="F40" s="28" t="s">
        <v>436</v>
      </c>
      <c r="G40" s="28" t="s">
        <v>209</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35">
      <c r="F41" s="28" t="s">
        <v>437</v>
      </c>
      <c r="G41" s="28" t="s">
        <v>209</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35">
      <c r="F42" s="28" t="s">
        <v>438</v>
      </c>
      <c r="G42" s="28" t="s">
        <v>209</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35">
      <c r="F43" s="28" t="s">
        <v>439</v>
      </c>
      <c r="G43" s="28" t="s">
        <v>209</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35">
      <c r="D44" s="32"/>
      <c r="AQ44" s="3"/>
    </row>
    <row r="45" spans="4:43" x14ac:dyDescent="0.35">
      <c r="F45" s="28" t="s">
        <v>440</v>
      </c>
      <c r="G45" s="28" t="s">
        <v>167</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35">
      <c r="F46" s="28" t="s">
        <v>441</v>
      </c>
      <c r="G46" s="28" t="s">
        <v>167</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35">
      <c r="F47" s="28" t="s">
        <v>442</v>
      </c>
      <c r="G47" s="28" t="s">
        <v>167</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35">
      <c r="F48" s="28" t="s">
        <v>443</v>
      </c>
      <c r="G48" s="28" t="s">
        <v>167</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35">
      <c r="F49" s="28" t="s">
        <v>444</v>
      </c>
      <c r="G49" s="28" t="s">
        <v>167</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35">
      <c r="C50" s="32"/>
      <c r="AQ50" s="3"/>
    </row>
    <row r="51" spans="2:43" x14ac:dyDescent="0.35">
      <c r="B51" s="30" t="s">
        <v>445</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35">
      <c r="C52" s="32"/>
      <c r="AQ52" s="3"/>
    </row>
    <row r="53" spans="2:43" x14ac:dyDescent="0.35">
      <c r="C53" s="31" t="str">
        <f ca="1">INDEX('Version control'!$H$34:$H$57,MATCH($A$1,'Version control'!$F$34:$F$57,0),1)&amp;"-B: Aggregation of volumes"</f>
        <v>Section 104-B: Aggregation of volumes</v>
      </c>
      <c r="D53" s="31"/>
      <c r="E53" s="31"/>
      <c r="F53" s="31"/>
      <c r="G53" s="31"/>
      <c r="H53" s="31"/>
      <c r="I53" s="31"/>
      <c r="J53" s="31"/>
      <c r="K53" s="31"/>
      <c r="L53" s="31"/>
      <c r="M53" s="31"/>
      <c r="N53" s="31"/>
      <c r="O53" s="31"/>
      <c r="P53" s="31"/>
      <c r="Q53" s="31"/>
      <c r="R53" s="31"/>
      <c r="S53" s="31"/>
      <c r="T53" s="31"/>
      <c r="U53" s="31"/>
      <c r="V53" s="31"/>
      <c r="W53" s="31"/>
      <c r="X53" s="31"/>
      <c r="Y53" s="31"/>
      <c r="Z53" s="31"/>
      <c r="AA53" s="31"/>
      <c r="AQ53" s="3"/>
    </row>
    <row r="54" spans="2:43" x14ac:dyDescent="0.35">
      <c r="C54" s="29"/>
      <c r="AQ54" s="3"/>
    </row>
    <row r="55" spans="2:43" x14ac:dyDescent="0.35">
      <c r="C55" s="29"/>
      <c r="D55" s="29" t="s">
        <v>964</v>
      </c>
      <c r="AQ55" s="3"/>
    </row>
    <row r="56" spans="2:43" x14ac:dyDescent="0.35">
      <c r="C56" s="29"/>
      <c r="AQ56" s="3"/>
    </row>
    <row r="57" spans="2:43" x14ac:dyDescent="0.35">
      <c r="C57" s="29"/>
      <c r="E57" s="32" t="s">
        <v>909</v>
      </c>
      <c r="G57" s="13"/>
      <c r="I57" t="s">
        <v>154</v>
      </c>
      <c r="AQ57" s="3"/>
    </row>
    <row r="58" spans="2:43" x14ac:dyDescent="0.35">
      <c r="C58" s="29"/>
      <c r="E58" s="32"/>
      <c r="F58" s="78" t="s">
        <v>247</v>
      </c>
      <c r="G58" s="78" t="s">
        <v>207</v>
      </c>
      <c r="H58" s="23"/>
      <c r="I58" s="23"/>
      <c r="J58" s="83"/>
      <c r="K58" s="124">
        <f>'Inputs by customer type'!K23</f>
        <v>9396.1650095049135</v>
      </c>
      <c r="L58" s="124">
        <f>'Inputs by customer type'!L23</f>
        <v>0</v>
      </c>
      <c r="M58" s="124">
        <f>'Inputs by customer type'!M23</f>
        <v>454.90419700623829</v>
      </c>
      <c r="N58" s="124">
        <f>'Inputs by customer type'!N23</f>
        <v>0</v>
      </c>
      <c r="O58" s="124">
        <f>'Inputs by customer type'!O23</f>
        <v>0</v>
      </c>
      <c r="P58" s="124">
        <f>'Inputs by customer type'!P23</f>
        <v>0</v>
      </c>
      <c r="Q58" s="83"/>
      <c r="R58" s="124">
        <f>'Inputs by customer type'!R23</f>
        <v>650.78467700282442</v>
      </c>
      <c r="S58" s="124">
        <f>'Inputs by customer type'!S23</f>
        <v>0.19900000000000004</v>
      </c>
      <c r="T58" s="124">
        <f>'Inputs by customer type'!T23</f>
        <v>37028.598245563808</v>
      </c>
      <c r="U58" s="124">
        <f>'Inputs by customer type'!U23</f>
        <v>0</v>
      </c>
      <c r="V58" s="124">
        <f>'Inputs by customer type'!V23</f>
        <v>324.10167419354838</v>
      </c>
      <c r="W58" s="124">
        <f>'Inputs by customer type'!W23</f>
        <v>0</v>
      </c>
      <c r="X58" s="124">
        <f>'Inputs by customer type'!X23</f>
        <v>166464.50181248464</v>
      </c>
      <c r="Y58" s="124">
        <f>'Inputs by customer type'!Y23</f>
        <v>0</v>
      </c>
      <c r="AQ58" s="3"/>
    </row>
    <row r="59" spans="2:43" x14ac:dyDescent="0.35">
      <c r="E59" s="32"/>
      <c r="F59" s="72" t="s">
        <v>248</v>
      </c>
      <c r="G59" s="72" t="s">
        <v>207</v>
      </c>
      <c r="J59" s="331"/>
      <c r="K59" s="333">
        <f>'Inputs by customer type'!K24</f>
        <v>146290.47824065451</v>
      </c>
      <c r="L59" s="333">
        <f>'Inputs by customer type'!L24</f>
        <v>0</v>
      </c>
      <c r="M59" s="333">
        <f>'Inputs by customer type'!M24</f>
        <v>8911.3295663483332</v>
      </c>
      <c r="N59" s="333">
        <f>'Inputs by customer type'!N24</f>
        <v>0</v>
      </c>
      <c r="O59" s="333">
        <f>'Inputs by customer type'!O24</f>
        <v>0</v>
      </c>
      <c r="P59" s="333">
        <f>'Inputs by customer type'!P24</f>
        <v>0</v>
      </c>
      <c r="Q59" s="331"/>
      <c r="R59" s="333">
        <f>'Inputs by customer type'!R24</f>
        <v>3502.3381089269142</v>
      </c>
      <c r="S59" s="333">
        <f>'Inputs by customer type'!S24</f>
        <v>1.391</v>
      </c>
      <c r="T59" s="333">
        <f>'Inputs by customer type'!T24</f>
        <v>177224.06606561315</v>
      </c>
      <c r="U59" s="333">
        <f>'Inputs by customer type'!U24</f>
        <v>0</v>
      </c>
      <c r="V59" s="333">
        <f>'Inputs by customer type'!V24</f>
        <v>1487.9755864997869</v>
      </c>
      <c r="W59" s="333">
        <f>'Inputs by customer type'!W24</f>
        <v>0</v>
      </c>
      <c r="X59" s="333">
        <f>'Inputs by customer type'!X24</f>
        <v>712457.12239743408</v>
      </c>
      <c r="Y59" s="333">
        <f>'Inputs by customer type'!Y24</f>
        <v>0</v>
      </c>
      <c r="AQ59" s="3"/>
    </row>
    <row r="60" spans="2:43" x14ac:dyDescent="0.35">
      <c r="E60" s="32"/>
      <c r="F60" s="72" t="s">
        <v>249</v>
      </c>
      <c r="G60" s="72" t="s">
        <v>207</v>
      </c>
      <c r="J60" s="331"/>
      <c r="K60" s="333">
        <f>'Inputs by customer type'!K25</f>
        <v>211336.36964169086</v>
      </c>
      <c r="L60" s="333">
        <f>'Inputs by customer type'!L25</f>
        <v>0</v>
      </c>
      <c r="M60" s="333">
        <f>'Inputs by customer type'!M25</f>
        <v>14290.612390057293</v>
      </c>
      <c r="N60" s="333">
        <f>'Inputs by customer type'!N25</f>
        <v>0</v>
      </c>
      <c r="O60" s="333">
        <f>'Inputs by customer type'!O25</f>
        <v>0</v>
      </c>
      <c r="P60" s="333">
        <f>'Inputs by customer type'!P25</f>
        <v>0</v>
      </c>
      <c r="Q60" s="331"/>
      <c r="R60" s="333">
        <f>'Inputs by customer type'!R25</f>
        <v>2112.3642325825435</v>
      </c>
      <c r="S60" s="333">
        <f>'Inputs by customer type'!S25</f>
        <v>0.64400000000000013</v>
      </c>
      <c r="T60" s="333">
        <f>'Inputs by customer type'!T25</f>
        <v>193113.18812858776</v>
      </c>
      <c r="U60" s="333">
        <f>'Inputs by customer type'!U25</f>
        <v>0</v>
      </c>
      <c r="V60" s="333">
        <f>'Inputs by customer type'!V25</f>
        <v>1570.8366193548386</v>
      </c>
      <c r="W60" s="333">
        <f>'Inputs by customer type'!W25</f>
        <v>0</v>
      </c>
      <c r="X60" s="333">
        <f>'Inputs by customer type'!X25</f>
        <v>746890.70756556396</v>
      </c>
      <c r="Y60" s="333">
        <f>'Inputs by customer type'!Y25</f>
        <v>0</v>
      </c>
      <c r="AQ60" s="3"/>
    </row>
    <row r="61" spans="2:43" x14ac:dyDescent="0.35">
      <c r="E61" s="32"/>
      <c r="F61" s="72" t="s">
        <v>212</v>
      </c>
      <c r="G61" s="72" t="s">
        <v>212</v>
      </c>
      <c r="J61" s="331"/>
      <c r="K61" s="333">
        <f>'Inputs by customer type'!K26</f>
        <v>72371.122331145176</v>
      </c>
      <c r="L61" s="333">
        <f>'Inputs by customer type'!L26</f>
        <v>0</v>
      </c>
      <c r="M61" s="333">
        <f>'Inputs by customer type'!M26</f>
        <v>2436.905804440873</v>
      </c>
      <c r="N61" s="333">
        <f>'Inputs by customer type'!N26</f>
        <v>0</v>
      </c>
      <c r="O61" s="333">
        <f>'Inputs by customer type'!O26</f>
        <v>0</v>
      </c>
      <c r="P61" s="333">
        <f>'Inputs by customer type'!P26</f>
        <v>0</v>
      </c>
      <c r="Q61" s="331"/>
      <c r="R61" s="333">
        <f>'Inputs by customer type'!R26</f>
        <v>376.80645161290334</v>
      </c>
      <c r="S61" s="333">
        <f>'Inputs by customer type'!S26</f>
        <v>1</v>
      </c>
      <c r="T61" s="333">
        <f>'Inputs by customer type'!T26</f>
        <v>812.9295222209638</v>
      </c>
      <c r="U61" s="333">
        <f>'Inputs by customer type'!U26</f>
        <v>0</v>
      </c>
      <c r="V61" s="333">
        <f>'Inputs by customer type'!V26</f>
        <v>2</v>
      </c>
      <c r="W61" s="333">
        <f>'Inputs by customer type'!W26</f>
        <v>0</v>
      </c>
      <c r="X61" s="333">
        <f>'Inputs by customer type'!X26</f>
        <v>348.45161290322585</v>
      </c>
      <c r="Y61" s="333">
        <f>'Inputs by customer type'!Y26</f>
        <v>0</v>
      </c>
      <c r="AQ61" s="3"/>
    </row>
    <row r="62" spans="2:43" x14ac:dyDescent="0.35">
      <c r="E62" s="32"/>
      <c r="F62" s="72" t="s">
        <v>250</v>
      </c>
      <c r="G62" s="72" t="s">
        <v>251</v>
      </c>
      <c r="J62" s="331"/>
      <c r="K62" s="333">
        <f>'Inputs by customer type'!K27</f>
        <v>0</v>
      </c>
      <c r="L62" s="333">
        <f>'Inputs by customer type'!L27</f>
        <v>0</v>
      </c>
      <c r="M62" s="333">
        <f>'Inputs by customer type'!M27</f>
        <v>0</v>
      </c>
      <c r="N62" s="333">
        <f>'Inputs by customer type'!N27</f>
        <v>0</v>
      </c>
      <c r="O62" s="333">
        <f>'Inputs by customer type'!O27</f>
        <v>0</v>
      </c>
      <c r="P62" s="333">
        <f>'Inputs by customer type'!P27</f>
        <v>0</v>
      </c>
      <c r="Q62" s="331"/>
      <c r="R62" s="333">
        <f>'Inputs by customer type'!R27</f>
        <v>0</v>
      </c>
      <c r="S62" s="333">
        <f>'Inputs by customer type'!S27</f>
        <v>0</v>
      </c>
      <c r="T62" s="333">
        <f>'Inputs by customer type'!T27</f>
        <v>0</v>
      </c>
      <c r="U62" s="333">
        <f>'Inputs by customer type'!U27</f>
        <v>0</v>
      </c>
      <c r="V62" s="333">
        <f>'Inputs by customer type'!V27</f>
        <v>0</v>
      </c>
      <c r="W62" s="333">
        <f>'Inputs by customer type'!W27</f>
        <v>0</v>
      </c>
      <c r="X62" s="333">
        <f>'Inputs by customer type'!X27</f>
        <v>0</v>
      </c>
      <c r="Y62" s="333">
        <f>'Inputs by customer type'!Y27</f>
        <v>0</v>
      </c>
      <c r="AQ62" s="3"/>
    </row>
    <row r="63" spans="2:43" x14ac:dyDescent="0.35">
      <c r="E63" s="32"/>
      <c r="F63" s="72" t="s">
        <v>252</v>
      </c>
      <c r="G63" s="72" t="s">
        <v>251</v>
      </c>
      <c r="J63" s="331"/>
      <c r="K63" s="333">
        <f>'Inputs by customer type'!K28</f>
        <v>0</v>
      </c>
      <c r="L63" s="333">
        <f>'Inputs by customer type'!L28</f>
        <v>0</v>
      </c>
      <c r="M63" s="333">
        <f>'Inputs by customer type'!M28</f>
        <v>0</v>
      </c>
      <c r="N63" s="333">
        <f>'Inputs by customer type'!N28</f>
        <v>0</v>
      </c>
      <c r="O63" s="333">
        <f>'Inputs by customer type'!O28</f>
        <v>0</v>
      </c>
      <c r="P63" s="333">
        <f>'Inputs by customer type'!P28</f>
        <v>0</v>
      </c>
      <c r="Q63" s="331"/>
      <c r="R63" s="333">
        <f>'Inputs by customer type'!R28</f>
        <v>0</v>
      </c>
      <c r="S63" s="333">
        <f>'Inputs by customer type'!S28</f>
        <v>0</v>
      </c>
      <c r="T63" s="333">
        <f>'Inputs by customer type'!T28</f>
        <v>0</v>
      </c>
      <c r="U63" s="333">
        <f>'Inputs by customer type'!U28</f>
        <v>0</v>
      </c>
      <c r="V63" s="333">
        <f>'Inputs by customer type'!V28</f>
        <v>0</v>
      </c>
      <c r="W63" s="333">
        <f>'Inputs by customer type'!W28</f>
        <v>0</v>
      </c>
      <c r="X63" s="333">
        <f>'Inputs by customer type'!X28</f>
        <v>0</v>
      </c>
      <c r="Y63" s="333">
        <f>'Inputs by customer type'!Y28</f>
        <v>0</v>
      </c>
      <c r="AQ63" s="3"/>
    </row>
    <row r="64" spans="2:43" x14ac:dyDescent="0.35">
      <c r="E64" s="32"/>
      <c r="F64" s="80" t="s">
        <v>253</v>
      </c>
      <c r="G64" s="80" t="s">
        <v>254</v>
      </c>
      <c r="H64" s="37"/>
      <c r="I64" s="37"/>
      <c r="J64" s="81"/>
      <c r="K64" s="125">
        <f>'Inputs by customer type'!K29</f>
        <v>0</v>
      </c>
      <c r="L64" s="125">
        <f>'Inputs by customer type'!L29</f>
        <v>0</v>
      </c>
      <c r="M64" s="125">
        <f>'Inputs by customer type'!M29</f>
        <v>0</v>
      </c>
      <c r="N64" s="125">
        <f>'Inputs by customer type'!N29</f>
        <v>0</v>
      </c>
      <c r="O64" s="125">
        <f>'Inputs by customer type'!O29</f>
        <v>0</v>
      </c>
      <c r="P64" s="125">
        <f>'Inputs by customer type'!P29</f>
        <v>0</v>
      </c>
      <c r="Q64" s="81"/>
      <c r="R64" s="125">
        <f>'Inputs by customer type'!R29</f>
        <v>0</v>
      </c>
      <c r="S64" s="125">
        <f>'Inputs by customer type'!S29</f>
        <v>0</v>
      </c>
      <c r="T64" s="125">
        <f>'Inputs by customer type'!T29</f>
        <v>12161.310051003624</v>
      </c>
      <c r="U64" s="125">
        <f>'Inputs by customer type'!U29</f>
        <v>0</v>
      </c>
      <c r="V64" s="125">
        <f>'Inputs by customer type'!V29</f>
        <v>0</v>
      </c>
      <c r="W64" s="125">
        <f>'Inputs by customer type'!W29</f>
        <v>0</v>
      </c>
      <c r="X64" s="125">
        <f>'Inputs by customer type'!X29</f>
        <v>36125.02323166062</v>
      </c>
      <c r="Y64" s="125">
        <f>'Inputs by customer type'!Y29</f>
        <v>0</v>
      </c>
      <c r="AQ64" s="3"/>
    </row>
    <row r="65" spans="3:43" x14ac:dyDescent="0.35">
      <c r="C65" s="29"/>
      <c r="AQ65" s="3"/>
    </row>
    <row r="66" spans="3:43" x14ac:dyDescent="0.35">
      <c r="C66" s="29"/>
      <c r="E66" s="32" t="s">
        <v>949</v>
      </c>
      <c r="G66" s="13"/>
      <c r="I66" t="s">
        <v>154</v>
      </c>
      <c r="AQ66" s="3"/>
    </row>
    <row r="67" spans="3:43" x14ac:dyDescent="0.35">
      <c r="C67" s="29"/>
      <c r="E67" s="32"/>
      <c r="F67" s="78" t="s">
        <v>247</v>
      </c>
      <c r="G67" s="78" t="s">
        <v>207</v>
      </c>
      <c r="H67" s="23"/>
      <c r="I67" s="23"/>
      <c r="J67" s="124">
        <f>'Inputs by customer type'!J32</f>
        <v>322302.2649968901</v>
      </c>
      <c r="K67" s="83"/>
      <c r="L67" s="124">
        <f>'Inputs by customer type'!L32</f>
        <v>3440.4390905533428</v>
      </c>
      <c r="M67" s="83"/>
      <c r="N67" s="124">
        <f>'Inputs by customer type'!N32</f>
        <v>28727.815582636696</v>
      </c>
      <c r="O67" s="124">
        <f>'Inputs by customer type'!O32</f>
        <v>637.36533546418946</v>
      </c>
      <c r="P67" s="124">
        <f>'Inputs by customer type'!P32</f>
        <v>6871.6648257276338</v>
      </c>
      <c r="Q67" s="124">
        <f>'Inputs by customer type'!Q32</f>
        <v>6021.5121963867368</v>
      </c>
      <c r="R67" s="83"/>
      <c r="S67" s="83"/>
      <c r="T67" s="83"/>
      <c r="U67" s="83"/>
      <c r="V67" s="83"/>
      <c r="W67" s="83"/>
      <c r="X67" s="83"/>
      <c r="Y67" s="83"/>
      <c r="AQ67" s="3"/>
    </row>
    <row r="68" spans="3:43" x14ac:dyDescent="0.35">
      <c r="E68" s="32"/>
      <c r="F68" s="72" t="s">
        <v>248</v>
      </c>
      <c r="G68" s="72" t="s">
        <v>207</v>
      </c>
      <c r="J68" s="333">
        <f>'Inputs by customer type'!J33</f>
        <v>1235375.6941167442</v>
      </c>
      <c r="K68" s="331"/>
      <c r="L68" s="333">
        <f>'Inputs by customer type'!L33</f>
        <v>17908.098477887361</v>
      </c>
      <c r="M68" s="331"/>
      <c r="N68" s="333">
        <f>'Inputs by customer type'!N33</f>
        <v>143762.10976742959</v>
      </c>
      <c r="O68" s="333">
        <f>'Inputs by customer type'!O33</f>
        <v>3009.0799200252268</v>
      </c>
      <c r="P68" s="333">
        <f>'Inputs by customer type'!P33</f>
        <v>33930.257102388103</v>
      </c>
      <c r="Q68" s="333">
        <f>'Inputs by customer type'!Q33</f>
        <v>29213.624042833315</v>
      </c>
      <c r="R68" s="331"/>
      <c r="S68" s="331"/>
      <c r="T68" s="331"/>
      <c r="U68" s="331"/>
      <c r="V68" s="331"/>
      <c r="W68" s="331"/>
      <c r="X68" s="331"/>
      <c r="Y68" s="331"/>
      <c r="AQ68" s="3"/>
    </row>
    <row r="69" spans="3:43" x14ac:dyDescent="0.35">
      <c r="E69" s="32"/>
      <c r="F69" s="72" t="s">
        <v>249</v>
      </c>
      <c r="G69" s="72" t="s">
        <v>207</v>
      </c>
      <c r="J69" s="333">
        <f>'Inputs by customer type'!J34</f>
        <v>1012593.7290870433</v>
      </c>
      <c r="K69" s="331"/>
      <c r="L69" s="333">
        <f>'Inputs by customer type'!L34</f>
        <v>12003.980648340061</v>
      </c>
      <c r="M69" s="331"/>
      <c r="N69" s="333">
        <f>'Inputs by customer type'!N34</f>
        <v>114821.4396496292</v>
      </c>
      <c r="O69" s="333">
        <f>'Inputs by customer type'!O34</f>
        <v>2935.9701037509471</v>
      </c>
      <c r="P69" s="333">
        <f>'Inputs by customer type'!P34</f>
        <v>31487.123666606396</v>
      </c>
      <c r="Q69" s="333">
        <f>'Inputs by customer type'!Q34</f>
        <v>60911.812464155897</v>
      </c>
      <c r="R69" s="331"/>
      <c r="S69" s="331"/>
      <c r="T69" s="331"/>
      <c r="U69" s="331"/>
      <c r="V69" s="331"/>
      <c r="W69" s="331"/>
      <c r="X69" s="331"/>
      <c r="Y69" s="331"/>
      <c r="AQ69" s="3"/>
    </row>
    <row r="70" spans="3:43" x14ac:dyDescent="0.35">
      <c r="E70" s="32"/>
      <c r="F70" s="72" t="s">
        <v>212</v>
      </c>
      <c r="G70" s="72" t="s">
        <v>212</v>
      </c>
      <c r="J70" s="333">
        <f>'Inputs by customer type'!J35</f>
        <v>706592.44030903245</v>
      </c>
      <c r="K70" s="331"/>
      <c r="L70" s="333">
        <f>'Inputs by customer type'!L35</f>
        <v>28310.269475554884</v>
      </c>
      <c r="M70" s="331"/>
      <c r="N70" s="333">
        <f>'Inputs by customer type'!N35</f>
        <v>3238.8641752857038</v>
      </c>
      <c r="O70" s="333">
        <f>'Inputs by customer type'!O35</f>
        <v>9.835917905749147</v>
      </c>
      <c r="P70" s="333">
        <f>'Inputs by customer type'!P35</f>
        <v>429.47801019678843</v>
      </c>
      <c r="Q70" s="333">
        <f>'Inputs by customer type'!Q35</f>
        <v>1886.5806451612905</v>
      </c>
      <c r="R70" s="331"/>
      <c r="S70" s="331"/>
      <c r="T70" s="331"/>
      <c r="U70" s="331"/>
      <c r="V70" s="331"/>
      <c r="W70" s="331"/>
      <c r="X70" s="331"/>
      <c r="Y70" s="331"/>
      <c r="AQ70" s="3"/>
    </row>
    <row r="71" spans="3:43" x14ac:dyDescent="0.35">
      <c r="E71" s="32"/>
      <c r="F71" s="72" t="s">
        <v>250</v>
      </c>
      <c r="G71" s="72" t="s">
        <v>251</v>
      </c>
      <c r="J71" s="333">
        <f>'Inputs by customer type'!J36</f>
        <v>0</v>
      </c>
      <c r="K71" s="331"/>
      <c r="L71" s="333">
        <f>'Inputs by customer type'!L36</f>
        <v>0</v>
      </c>
      <c r="M71" s="331"/>
      <c r="N71" s="333">
        <f>'Inputs by customer type'!N36</f>
        <v>178923.90872332305</v>
      </c>
      <c r="O71" s="333">
        <f>'Inputs by customer type'!O36</f>
        <v>2459.3578134546037</v>
      </c>
      <c r="P71" s="333">
        <f>'Inputs by customer type'!P36</f>
        <v>36447.354161456627</v>
      </c>
      <c r="Q71" s="333">
        <f>'Inputs by customer type'!Q36</f>
        <v>0</v>
      </c>
      <c r="R71" s="331"/>
      <c r="S71" s="331"/>
      <c r="T71" s="331"/>
      <c r="U71" s="331"/>
      <c r="V71" s="331"/>
      <c r="W71" s="331"/>
      <c r="X71" s="331"/>
      <c r="Y71" s="331"/>
      <c r="AQ71" s="3"/>
    </row>
    <row r="72" spans="3:43" x14ac:dyDescent="0.35">
      <c r="E72" s="32"/>
      <c r="F72" s="72" t="s">
        <v>252</v>
      </c>
      <c r="G72" s="72" t="s">
        <v>251</v>
      </c>
      <c r="J72" s="333">
        <f>'Inputs by customer type'!J37</f>
        <v>0</v>
      </c>
      <c r="K72" s="331"/>
      <c r="L72" s="333">
        <f>'Inputs by customer type'!L37</f>
        <v>0</v>
      </c>
      <c r="M72" s="331"/>
      <c r="N72" s="333">
        <f>'Inputs by customer type'!N37</f>
        <v>3635.7650764734904</v>
      </c>
      <c r="O72" s="333">
        <f>'Inputs by customer type'!O37</f>
        <v>74.370999092084375</v>
      </c>
      <c r="P72" s="333">
        <f>'Inputs by customer type'!P37</f>
        <v>958.76253773084238</v>
      </c>
      <c r="Q72" s="333">
        <f>'Inputs by customer type'!Q37</f>
        <v>0</v>
      </c>
      <c r="R72" s="331"/>
      <c r="S72" s="331"/>
      <c r="T72" s="331"/>
      <c r="U72" s="331"/>
      <c r="V72" s="331"/>
      <c r="W72" s="331"/>
      <c r="X72" s="331"/>
      <c r="Y72" s="331"/>
      <c r="AQ72" s="3"/>
    </row>
    <row r="73" spans="3:43" x14ac:dyDescent="0.35">
      <c r="E73" s="32"/>
      <c r="F73" s="80" t="s">
        <v>253</v>
      </c>
      <c r="G73" s="80" t="s">
        <v>254</v>
      </c>
      <c r="H73" s="37"/>
      <c r="I73" s="37"/>
      <c r="J73" s="125">
        <f>'Inputs by customer type'!J38</f>
        <v>0</v>
      </c>
      <c r="K73" s="81"/>
      <c r="L73" s="125">
        <f>'Inputs by customer type'!L38</f>
        <v>0</v>
      </c>
      <c r="M73" s="81"/>
      <c r="N73" s="125">
        <f>'Inputs by customer type'!N38</f>
        <v>33391.216316336562</v>
      </c>
      <c r="O73" s="125">
        <f>'Inputs by customer type'!O38</f>
        <v>502.18789439440997</v>
      </c>
      <c r="P73" s="125">
        <f>'Inputs by customer type'!P38</f>
        <v>12541.854171679766</v>
      </c>
      <c r="Q73" s="125">
        <f>'Inputs by customer type'!Q38</f>
        <v>0</v>
      </c>
      <c r="R73" s="81"/>
      <c r="S73" s="81"/>
      <c r="T73" s="81"/>
      <c r="U73" s="81"/>
      <c r="V73" s="81"/>
      <c r="W73" s="81"/>
      <c r="X73" s="81"/>
      <c r="Y73" s="81"/>
      <c r="AQ73" s="3"/>
    </row>
    <row r="74" spans="3:43" x14ac:dyDescent="0.35">
      <c r="AQ74" s="3"/>
    </row>
    <row r="75" spans="3:43" x14ac:dyDescent="0.35">
      <c r="C75" s="29"/>
      <c r="E75" s="32" t="s">
        <v>950</v>
      </c>
      <c r="G75" s="13"/>
      <c r="I75" t="s">
        <v>154</v>
      </c>
      <c r="AQ75" s="3"/>
    </row>
    <row r="76" spans="3:43" x14ac:dyDescent="0.35">
      <c r="C76" s="29"/>
      <c r="E76" s="32"/>
      <c r="F76" s="78" t="s">
        <v>247</v>
      </c>
      <c r="G76" s="78" t="s">
        <v>207</v>
      </c>
      <c r="H76" s="23"/>
      <c r="I76" s="23"/>
      <c r="J76" s="83"/>
      <c r="K76" s="83"/>
      <c r="L76" s="124">
        <f>'Inputs by customer type'!L41</f>
        <v>16514.787577313004</v>
      </c>
      <c r="M76" s="83"/>
      <c r="N76" s="124">
        <f>'Inputs by customer type'!N41</f>
        <v>29513.838714151007</v>
      </c>
      <c r="O76" s="124">
        <f>'Inputs by customer type'!O41</f>
        <v>390.93384375875104</v>
      </c>
      <c r="P76" s="124">
        <f>'Inputs by customer type'!P41</f>
        <v>19107.04821857742</v>
      </c>
      <c r="Q76" s="83"/>
      <c r="R76" s="83"/>
      <c r="S76" s="83"/>
      <c r="T76" s="83"/>
      <c r="U76" s="83"/>
      <c r="V76" s="83"/>
      <c r="W76" s="83"/>
      <c r="X76" s="83"/>
      <c r="Y76" s="83"/>
      <c r="AQ76" s="3"/>
    </row>
    <row r="77" spans="3:43" x14ac:dyDescent="0.35">
      <c r="E77" s="32"/>
      <c r="F77" s="72" t="s">
        <v>248</v>
      </c>
      <c r="G77" s="72" t="s">
        <v>207</v>
      </c>
      <c r="J77" s="331"/>
      <c r="K77" s="331"/>
      <c r="L77" s="333">
        <f>'Inputs by customer type'!L42</f>
        <v>85962.411916539815</v>
      </c>
      <c r="M77" s="331"/>
      <c r="N77" s="333">
        <f>'Inputs by customer type'!N42</f>
        <v>147695.59170542969</v>
      </c>
      <c r="O77" s="333">
        <f>'Inputs by customer type'!O42</f>
        <v>1845.646623464402</v>
      </c>
      <c r="P77" s="333">
        <f>'Inputs by customer type'!P42</f>
        <v>94344.976794675051</v>
      </c>
      <c r="Q77" s="331"/>
      <c r="R77" s="331"/>
      <c r="S77" s="331"/>
      <c r="T77" s="331"/>
      <c r="U77" s="331"/>
      <c r="V77" s="331"/>
      <c r="W77" s="331"/>
      <c r="X77" s="331"/>
      <c r="Y77" s="331"/>
      <c r="AQ77" s="3"/>
    </row>
    <row r="78" spans="3:43" x14ac:dyDescent="0.35">
      <c r="E78" s="32"/>
      <c r="F78" s="72" t="s">
        <v>249</v>
      </c>
      <c r="G78" s="72" t="s">
        <v>207</v>
      </c>
      <c r="J78" s="331"/>
      <c r="K78" s="331"/>
      <c r="L78" s="333">
        <f>'Inputs by customer type'!L43</f>
        <v>57621.479489011297</v>
      </c>
      <c r="M78" s="331"/>
      <c r="N78" s="333">
        <f>'Inputs by customer type'!N43</f>
        <v>117963.07453303231</v>
      </c>
      <c r="O78" s="333">
        <f>'Inputs by customer type'!O43</f>
        <v>1800.8040506065845</v>
      </c>
      <c r="P78" s="333">
        <f>'Inputs by customer type'!P43</f>
        <v>87551.707689475821</v>
      </c>
      <c r="Q78" s="331"/>
      <c r="R78" s="331"/>
      <c r="S78" s="331"/>
      <c r="T78" s="331"/>
      <c r="U78" s="331"/>
      <c r="V78" s="331"/>
      <c r="W78" s="331"/>
      <c r="X78" s="331"/>
      <c r="Y78" s="331"/>
      <c r="AQ78" s="3"/>
    </row>
    <row r="79" spans="3:43" x14ac:dyDescent="0.35">
      <c r="E79" s="32"/>
      <c r="F79" s="72" t="s">
        <v>212</v>
      </c>
      <c r="G79" s="72" t="s">
        <v>212</v>
      </c>
      <c r="J79" s="331"/>
      <c r="K79" s="331"/>
      <c r="L79" s="333">
        <f>'Inputs by customer type'!L44</f>
        <v>22964.998255410857</v>
      </c>
      <c r="M79" s="331"/>
      <c r="N79" s="333">
        <f>'Inputs by customer type'!N44</f>
        <v>1743.2771857257139</v>
      </c>
      <c r="O79" s="333">
        <f>'Inputs by customer type'!O44</f>
        <v>13.114557207665531</v>
      </c>
      <c r="P79" s="333">
        <f>'Inputs by customer type'!P44</f>
        <v>153.45856959069897</v>
      </c>
      <c r="Q79" s="331"/>
      <c r="R79" s="331"/>
      <c r="S79" s="331"/>
      <c r="T79" s="331"/>
      <c r="U79" s="331"/>
      <c r="V79" s="331"/>
      <c r="W79" s="331"/>
      <c r="X79" s="331"/>
      <c r="Y79" s="331"/>
      <c r="AQ79" s="3"/>
    </row>
    <row r="80" spans="3:43" x14ac:dyDescent="0.35">
      <c r="E80" s="32"/>
      <c r="F80" s="72" t="s">
        <v>250</v>
      </c>
      <c r="G80" s="72" t="s">
        <v>251</v>
      </c>
      <c r="J80" s="331"/>
      <c r="K80" s="331"/>
      <c r="L80" s="333">
        <f>'Inputs by customer type'!L45</f>
        <v>0</v>
      </c>
      <c r="M80" s="331"/>
      <c r="N80" s="333">
        <f>'Inputs by customer type'!N45</f>
        <v>183819.45431859934</v>
      </c>
      <c r="O80" s="333">
        <f>'Inputs by customer type'!O45</f>
        <v>1508.4695537947794</v>
      </c>
      <c r="P80" s="333">
        <f>'Inputs by customer type'!P45</f>
        <v>101343.90588946964</v>
      </c>
      <c r="Q80" s="331"/>
      <c r="R80" s="331"/>
      <c r="S80" s="331"/>
      <c r="T80" s="331"/>
      <c r="U80" s="331"/>
      <c r="V80" s="331"/>
      <c r="W80" s="331"/>
      <c r="X80" s="331"/>
      <c r="Y80" s="331"/>
      <c r="AQ80" s="3"/>
    </row>
    <row r="81" spans="3:43" x14ac:dyDescent="0.35">
      <c r="E81" s="32"/>
      <c r="F81" s="72" t="s">
        <v>252</v>
      </c>
      <c r="G81" s="72" t="s">
        <v>251</v>
      </c>
      <c r="J81" s="331"/>
      <c r="K81" s="331"/>
      <c r="L81" s="333">
        <f>'Inputs by customer type'!L46</f>
        <v>0</v>
      </c>
      <c r="M81" s="331"/>
      <c r="N81" s="333">
        <f>'Inputs by customer type'!N46</f>
        <v>3735.2434180355035</v>
      </c>
      <c r="O81" s="333">
        <f>'Inputs by customer type'!O46</f>
        <v>45.616130846012524</v>
      </c>
      <c r="P81" s="333">
        <f>'Inputs by customer type'!P46</f>
        <v>2665.892837206166</v>
      </c>
      <c r="Q81" s="331"/>
      <c r="R81" s="331"/>
      <c r="S81" s="331"/>
      <c r="T81" s="331"/>
      <c r="U81" s="331"/>
      <c r="V81" s="331"/>
      <c r="W81" s="331"/>
      <c r="X81" s="331"/>
      <c r="Y81" s="331"/>
      <c r="AQ81" s="3"/>
    </row>
    <row r="82" spans="3:43" x14ac:dyDescent="0.35">
      <c r="E82" s="32"/>
      <c r="F82" s="80" t="s">
        <v>253</v>
      </c>
      <c r="G82" s="80" t="s">
        <v>254</v>
      </c>
      <c r="H82" s="37"/>
      <c r="I82" s="37"/>
      <c r="J82" s="81"/>
      <c r="K82" s="81"/>
      <c r="L82" s="125">
        <f>'Inputs by customer type'!L47</f>
        <v>0</v>
      </c>
      <c r="M82" s="81"/>
      <c r="N82" s="125">
        <f>'Inputs by customer type'!N47</f>
        <v>34304.834977614169</v>
      </c>
      <c r="O82" s="125">
        <f>'Inputs by customer type'!O47</f>
        <v>308.02152693437603</v>
      </c>
      <c r="P82" s="125">
        <f>'Inputs by customer type'!P47</f>
        <v>34873.326695365504</v>
      </c>
      <c r="Q82" s="81"/>
      <c r="R82" s="81"/>
      <c r="S82" s="81"/>
      <c r="T82" s="81"/>
      <c r="U82" s="81"/>
      <c r="V82" s="81"/>
      <c r="W82" s="81"/>
      <c r="X82" s="81"/>
      <c r="Y82" s="81"/>
      <c r="AQ82" s="3"/>
    </row>
    <row r="83" spans="3:43" x14ac:dyDescent="0.35">
      <c r="AQ83" s="3"/>
    </row>
    <row r="84" spans="3:43" x14ac:dyDescent="0.35">
      <c r="C84" s="29"/>
      <c r="E84" s="32" t="s">
        <v>951</v>
      </c>
      <c r="G84" s="13"/>
      <c r="I84" t="s">
        <v>154</v>
      </c>
      <c r="AQ84" s="3"/>
    </row>
    <row r="85" spans="3:43" x14ac:dyDescent="0.35">
      <c r="C85" s="29"/>
      <c r="E85" s="32"/>
      <c r="F85" s="78" t="s">
        <v>247</v>
      </c>
      <c r="G85" s="78" t="s">
        <v>207</v>
      </c>
      <c r="H85" s="23"/>
      <c r="I85" s="23"/>
      <c r="J85" s="83"/>
      <c r="K85" s="83"/>
      <c r="L85" s="124">
        <f>'Inputs by customer type'!L50</f>
        <v>23010.46824760376</v>
      </c>
      <c r="M85" s="83"/>
      <c r="N85" s="124">
        <f>'Inputs by customer type'!N50</f>
        <v>22315.72923755012</v>
      </c>
      <c r="O85" s="124">
        <f>'Inputs by customer type'!O50</f>
        <v>1158.1933767064754</v>
      </c>
      <c r="P85" s="124">
        <f>'Inputs by customer type'!P50</f>
        <v>15997.757150763569</v>
      </c>
      <c r="Q85" s="83"/>
      <c r="R85" s="83"/>
      <c r="S85" s="83"/>
      <c r="T85" s="83"/>
      <c r="U85" s="83"/>
      <c r="V85" s="83"/>
      <c r="W85" s="83"/>
      <c r="X85" s="83"/>
      <c r="Y85" s="83"/>
      <c r="AQ85" s="3"/>
    </row>
    <row r="86" spans="3:43" x14ac:dyDescent="0.35">
      <c r="E86" s="32"/>
      <c r="F86" s="72" t="s">
        <v>248</v>
      </c>
      <c r="G86" s="72" t="s">
        <v>207</v>
      </c>
      <c r="J86" s="331"/>
      <c r="K86" s="331"/>
      <c r="L86" s="333">
        <f>'Inputs by customer type'!L51</f>
        <v>119773.58719468348</v>
      </c>
      <c r="M86" s="331"/>
      <c r="N86" s="333">
        <f>'Inputs by customer type'!N51</f>
        <v>111674.21716978548</v>
      </c>
      <c r="O86" s="333">
        <f>'Inputs by customer type'!O51</f>
        <v>5467.9729810148729</v>
      </c>
      <c r="P86" s="333">
        <f>'Inputs by customer type'!P51</f>
        <v>78992.213234075811</v>
      </c>
      <c r="Q86" s="331"/>
      <c r="R86" s="331"/>
      <c r="S86" s="331"/>
      <c r="T86" s="331"/>
      <c r="U86" s="331"/>
      <c r="V86" s="331"/>
      <c r="W86" s="331"/>
      <c r="X86" s="331"/>
      <c r="Y86" s="331"/>
      <c r="AQ86" s="3"/>
    </row>
    <row r="87" spans="3:43" x14ac:dyDescent="0.35">
      <c r="E87" s="32"/>
      <c r="F87" s="72" t="s">
        <v>249</v>
      </c>
      <c r="G87" s="72" t="s">
        <v>207</v>
      </c>
      <c r="J87" s="331"/>
      <c r="K87" s="331"/>
      <c r="L87" s="333">
        <f>'Inputs by customer type'!L52</f>
        <v>80285.454351425127</v>
      </c>
      <c r="M87" s="331"/>
      <c r="N87" s="333">
        <f>'Inputs by customer type'!N52</f>
        <v>89193.142810186881</v>
      </c>
      <c r="O87" s="333">
        <f>'Inputs by customer type'!O52</f>
        <v>5335.120909730781</v>
      </c>
      <c r="P87" s="333">
        <f>'Inputs by customer type'!P52</f>
        <v>73304.413205440433</v>
      </c>
      <c r="Q87" s="331"/>
      <c r="R87" s="331"/>
      <c r="S87" s="331"/>
      <c r="T87" s="331"/>
      <c r="U87" s="331"/>
      <c r="V87" s="331"/>
      <c r="W87" s="331"/>
      <c r="X87" s="331"/>
      <c r="Y87" s="331"/>
      <c r="AQ87" s="3"/>
    </row>
    <row r="88" spans="3:43" x14ac:dyDescent="0.35">
      <c r="E88" s="32"/>
      <c r="F88" s="72" t="s">
        <v>212</v>
      </c>
      <c r="G88" s="72" t="s">
        <v>212</v>
      </c>
      <c r="J88" s="331"/>
      <c r="K88" s="331"/>
      <c r="L88" s="333">
        <f>'Inputs by customer type'!L53</f>
        <v>12966.908760035867</v>
      </c>
      <c r="M88" s="331"/>
      <c r="N88" s="333">
        <f>'Inputs by customer type'!N53</f>
        <v>801.84453335005753</v>
      </c>
      <c r="O88" s="333">
        <f>'Inputs by customer type'!O53</f>
        <v>26.229114415331061</v>
      </c>
      <c r="P88" s="333">
        <f>'Inputs by customer type'!P53</f>
        <v>59.735550578929804</v>
      </c>
      <c r="Q88" s="331"/>
      <c r="R88" s="331"/>
      <c r="S88" s="331"/>
      <c r="T88" s="331"/>
      <c r="U88" s="331"/>
      <c r="V88" s="331"/>
      <c r="W88" s="331"/>
      <c r="X88" s="331"/>
      <c r="Y88" s="331"/>
      <c r="AQ88" s="3"/>
    </row>
    <row r="89" spans="3:43" x14ac:dyDescent="0.35">
      <c r="E89" s="32"/>
      <c r="F89" s="72" t="s">
        <v>250</v>
      </c>
      <c r="G89" s="72" t="s">
        <v>251</v>
      </c>
      <c r="J89" s="331"/>
      <c r="K89" s="331"/>
      <c r="L89" s="333">
        <f>'Inputs by customer type'!L54</f>
        <v>0</v>
      </c>
      <c r="M89" s="331"/>
      <c r="N89" s="333">
        <f>'Inputs by customer type'!N54</f>
        <v>138987.856201886</v>
      </c>
      <c r="O89" s="333">
        <f>'Inputs by customer type'!O54</f>
        <v>4469.0411793731455</v>
      </c>
      <c r="P89" s="333">
        <f>'Inputs by customer type'!P54</f>
        <v>84852.206190239158</v>
      </c>
      <c r="Q89" s="331"/>
      <c r="R89" s="331"/>
      <c r="S89" s="331"/>
      <c r="T89" s="331"/>
      <c r="U89" s="331"/>
      <c r="V89" s="331"/>
      <c r="W89" s="331"/>
      <c r="X89" s="331"/>
      <c r="Y89" s="331"/>
      <c r="AQ89" s="3"/>
    </row>
    <row r="90" spans="3:43" x14ac:dyDescent="0.35">
      <c r="E90" s="32"/>
      <c r="F90" s="72" t="s">
        <v>252</v>
      </c>
      <c r="G90" s="72" t="s">
        <v>251</v>
      </c>
      <c r="J90" s="331"/>
      <c r="K90" s="331"/>
      <c r="L90" s="333">
        <f>'Inputs by customer type'!L55</f>
        <v>0</v>
      </c>
      <c r="M90" s="331"/>
      <c r="N90" s="333">
        <f>'Inputs by customer type'!N55</f>
        <v>2824.2575139253381</v>
      </c>
      <c r="O90" s="333">
        <f>'Inputs by customer type'!O55</f>
        <v>135.14383945082781</v>
      </c>
      <c r="P90" s="333">
        <f>'Inputs by customer type'!P55</f>
        <v>2232.0719407678152</v>
      </c>
      <c r="Q90" s="331"/>
      <c r="R90" s="331"/>
      <c r="S90" s="331"/>
      <c r="T90" s="331"/>
      <c r="U90" s="331"/>
      <c r="V90" s="331"/>
      <c r="W90" s="331"/>
      <c r="X90" s="331"/>
      <c r="Y90" s="331"/>
      <c r="AQ90" s="3"/>
    </row>
    <row r="91" spans="3:43" x14ac:dyDescent="0.35">
      <c r="E91" s="32"/>
      <c r="F91" s="80" t="s">
        <v>253</v>
      </c>
      <c r="G91" s="80" t="s">
        <v>254</v>
      </c>
      <c r="H91" s="37"/>
      <c r="I91" s="37"/>
      <c r="J91" s="81"/>
      <c r="K91" s="81"/>
      <c r="L91" s="125">
        <f>'Inputs by customer type'!L56</f>
        <v>0</v>
      </c>
      <c r="M91" s="81"/>
      <c r="N91" s="125">
        <f>'Inputs by customer type'!N56</f>
        <v>25938.252774018991</v>
      </c>
      <c r="O91" s="125">
        <f>'Inputs by customer type'!O56</f>
        <v>912.55463826908363</v>
      </c>
      <c r="P91" s="125">
        <f>'Inputs by customer type'!P56</f>
        <v>29198.388214107654</v>
      </c>
      <c r="Q91" s="81"/>
      <c r="R91" s="81"/>
      <c r="S91" s="81"/>
      <c r="T91" s="81"/>
      <c r="U91" s="81"/>
      <c r="V91" s="81"/>
      <c r="W91" s="81"/>
      <c r="X91" s="81"/>
      <c r="Y91" s="81"/>
      <c r="AQ91" s="3"/>
    </row>
    <row r="92" spans="3:43" x14ac:dyDescent="0.35">
      <c r="AQ92" s="3"/>
    </row>
    <row r="93" spans="3:43" x14ac:dyDescent="0.35">
      <c r="C93" s="29"/>
      <c r="E93" s="32" t="s">
        <v>952</v>
      </c>
      <c r="G93" s="13"/>
      <c r="I93" t="s">
        <v>154</v>
      </c>
      <c r="AQ93" s="3"/>
    </row>
    <row r="94" spans="3:43" x14ac:dyDescent="0.35">
      <c r="C94" s="29"/>
      <c r="E94" s="32"/>
      <c r="F94" s="78" t="s">
        <v>247</v>
      </c>
      <c r="G94" s="78" t="s">
        <v>207</v>
      </c>
      <c r="H94" s="23"/>
      <c r="I94" s="23"/>
      <c r="J94" s="83"/>
      <c r="K94" s="83"/>
      <c r="L94" s="124">
        <f>'Inputs by customer type'!L59</f>
        <v>60897.322396953918</v>
      </c>
      <c r="M94" s="83"/>
      <c r="N94" s="124">
        <f>'Inputs by customer type'!N59</f>
        <v>60741.856601798361</v>
      </c>
      <c r="O94" s="124">
        <f>'Inputs by customer type'!O59</f>
        <v>9045.6259387962073</v>
      </c>
      <c r="P94" s="124">
        <f>'Inputs by customer type'!P59</f>
        <v>32103.945803267059</v>
      </c>
      <c r="Q94" s="83"/>
      <c r="R94" s="83"/>
      <c r="S94" s="83"/>
      <c r="T94" s="83"/>
      <c r="U94" s="83"/>
      <c r="V94" s="83"/>
      <c r="W94" s="83"/>
      <c r="X94" s="83"/>
      <c r="Y94" s="83"/>
      <c r="AQ94" s="3"/>
    </row>
    <row r="95" spans="3:43" x14ac:dyDescent="0.35">
      <c r="E95" s="32"/>
      <c r="F95" s="72" t="s">
        <v>248</v>
      </c>
      <c r="G95" s="72" t="s">
        <v>207</v>
      </c>
      <c r="J95" s="331"/>
      <c r="K95" s="331"/>
      <c r="L95" s="333">
        <f>'Inputs by customer type'!L60</f>
        <v>316981.41365697217</v>
      </c>
      <c r="M95" s="331"/>
      <c r="N95" s="333">
        <f>'Inputs by customer type'!N60</f>
        <v>303969.42054804601</v>
      </c>
      <c r="O95" s="333">
        <f>'Inputs by customer type'!O60</f>
        <v>42705.509480944012</v>
      </c>
      <c r="P95" s="333">
        <f>'Inputs by customer type'!P60</f>
        <v>158519.82928906029</v>
      </c>
      <c r="Q95" s="331"/>
      <c r="R95" s="331"/>
      <c r="S95" s="331"/>
      <c r="T95" s="331"/>
      <c r="U95" s="331"/>
      <c r="V95" s="331"/>
      <c r="W95" s="331"/>
      <c r="X95" s="331"/>
      <c r="Y95" s="331"/>
      <c r="AQ95" s="3"/>
    </row>
    <row r="96" spans="3:43" x14ac:dyDescent="0.35">
      <c r="E96" s="32"/>
      <c r="F96" s="72" t="s">
        <v>249</v>
      </c>
      <c r="G96" s="72" t="s">
        <v>207</v>
      </c>
      <c r="J96" s="331"/>
      <c r="K96" s="331"/>
      <c r="L96" s="333">
        <f>'Inputs by customer type'!L61</f>
        <v>212475.86727983275</v>
      </c>
      <c r="M96" s="331"/>
      <c r="N96" s="333">
        <f>'Inputs by customer type'!N61</f>
        <v>242777.50607064052</v>
      </c>
      <c r="O96" s="333">
        <f>'Inputs by customer type'!O61</f>
        <v>41667.919242388591</v>
      </c>
      <c r="P96" s="333">
        <f>'Inputs by customer type'!P61</f>
        <v>147105.67778405288</v>
      </c>
      <c r="Q96" s="331"/>
      <c r="R96" s="331"/>
      <c r="S96" s="331"/>
      <c r="T96" s="331"/>
      <c r="U96" s="331"/>
      <c r="V96" s="331"/>
      <c r="W96" s="331"/>
      <c r="X96" s="331"/>
      <c r="Y96" s="331"/>
      <c r="AQ96" s="3"/>
    </row>
    <row r="97" spans="3:43" x14ac:dyDescent="0.35">
      <c r="E97" s="32"/>
      <c r="F97" s="72" t="s">
        <v>212</v>
      </c>
      <c r="G97" s="72" t="s">
        <v>212</v>
      </c>
      <c r="J97" s="331"/>
      <c r="K97" s="331"/>
      <c r="L97" s="333">
        <f>'Inputs by customer type'!L62</f>
        <v>10488.043595893307</v>
      </c>
      <c r="M97" s="331"/>
      <c r="N97" s="333">
        <f>'Inputs by customer type'!N62</f>
        <v>984.4635762858037</v>
      </c>
      <c r="O97" s="333">
        <f>'Inputs by customer type'!O62</f>
        <v>71.037184874854958</v>
      </c>
      <c r="P97" s="333">
        <f>'Inputs by customer type'!P62</f>
        <v>54.585934149711711</v>
      </c>
      <c r="Q97" s="331"/>
      <c r="R97" s="331"/>
      <c r="S97" s="331"/>
      <c r="T97" s="331"/>
      <c r="U97" s="331"/>
      <c r="V97" s="331"/>
      <c r="W97" s="331"/>
      <c r="X97" s="331"/>
      <c r="Y97" s="331"/>
      <c r="AQ97" s="3"/>
    </row>
    <row r="98" spans="3:43" x14ac:dyDescent="0.35">
      <c r="E98" s="32"/>
      <c r="F98" s="72" t="s">
        <v>250</v>
      </c>
      <c r="G98" s="72" t="s">
        <v>251</v>
      </c>
      <c r="J98" s="331"/>
      <c r="K98" s="331"/>
      <c r="L98" s="333">
        <f>'Inputs by customer type'!L63</f>
        <v>0</v>
      </c>
      <c r="M98" s="331"/>
      <c r="N98" s="333">
        <f>'Inputs by customer type'!N63</f>
        <v>378315.23858967365</v>
      </c>
      <c r="O98" s="333">
        <f>'Inputs by customer type'!O63</f>
        <v>34903.735098746998</v>
      </c>
      <c r="P98" s="333">
        <f>'Inputs by customer type'!P63</f>
        <v>170279.53375883441</v>
      </c>
      <c r="Q98" s="331"/>
      <c r="R98" s="331"/>
      <c r="S98" s="331"/>
      <c r="T98" s="331"/>
      <c r="U98" s="331"/>
      <c r="V98" s="331"/>
      <c r="W98" s="331"/>
      <c r="X98" s="331"/>
      <c r="Y98" s="331"/>
      <c r="AQ98" s="3"/>
    </row>
    <row r="99" spans="3:43" x14ac:dyDescent="0.35">
      <c r="E99" s="32"/>
      <c r="F99" s="72" t="s">
        <v>252</v>
      </c>
      <c r="G99" s="72" t="s">
        <v>251</v>
      </c>
      <c r="J99" s="331"/>
      <c r="K99" s="331"/>
      <c r="L99" s="333">
        <f>'Inputs by customer type'!L64</f>
        <v>0</v>
      </c>
      <c r="M99" s="331"/>
      <c r="N99" s="333">
        <f>'Inputs by customer type'!N64</f>
        <v>7687.4317254549078</v>
      </c>
      <c r="O99" s="333">
        <f>'Inputs by customer type'!O64</f>
        <v>1055.489216387334</v>
      </c>
      <c r="P99" s="333">
        <f>'Inputs by customer type'!P64</f>
        <v>4479.2726842951743</v>
      </c>
      <c r="Q99" s="331"/>
      <c r="R99" s="331"/>
      <c r="S99" s="331"/>
      <c r="T99" s="331"/>
      <c r="U99" s="331"/>
      <c r="V99" s="331"/>
      <c r="W99" s="331"/>
      <c r="X99" s="331"/>
      <c r="Y99" s="331"/>
      <c r="AQ99" s="3"/>
    </row>
    <row r="100" spans="3:43" x14ac:dyDescent="0.35">
      <c r="E100" s="32"/>
      <c r="F100" s="80" t="s">
        <v>253</v>
      </c>
      <c r="G100" s="80" t="s">
        <v>254</v>
      </c>
      <c r="H100" s="37"/>
      <c r="I100" s="37"/>
      <c r="J100" s="81"/>
      <c r="K100" s="81"/>
      <c r="L100" s="125">
        <f>'Inputs by customer type'!L65</f>
        <v>0</v>
      </c>
      <c r="M100" s="81"/>
      <c r="N100" s="125">
        <f>'Inputs by customer type'!N65</f>
        <v>70602.112695001808</v>
      </c>
      <c r="O100" s="125">
        <f>'Inputs by customer type'!O65</f>
        <v>7127.1586183380568</v>
      </c>
      <c r="P100" s="125">
        <f>'Inputs by customer type'!P65</f>
        <v>58594.680737713454</v>
      </c>
      <c r="Q100" s="81"/>
      <c r="R100" s="81"/>
      <c r="S100" s="81"/>
      <c r="T100" s="81"/>
      <c r="U100" s="81"/>
      <c r="V100" s="81"/>
      <c r="W100" s="81"/>
      <c r="X100" s="81"/>
      <c r="Y100" s="81"/>
      <c r="AQ100" s="3"/>
    </row>
    <row r="101" spans="3:43" x14ac:dyDescent="0.35">
      <c r="AQ101" s="3"/>
    </row>
    <row r="102" spans="3:43" x14ac:dyDescent="0.35">
      <c r="C102" s="29"/>
      <c r="D102" s="29" t="s">
        <v>965</v>
      </c>
      <c r="AQ102" s="3"/>
    </row>
    <row r="103" spans="3:43" x14ac:dyDescent="0.35">
      <c r="AQ103" s="3"/>
    </row>
    <row r="104" spans="3:43" x14ac:dyDescent="0.35">
      <c r="E104" s="32" t="s">
        <v>910</v>
      </c>
      <c r="G104" s="13"/>
      <c r="I104" t="s">
        <v>154</v>
      </c>
      <c r="AQ104" s="3"/>
    </row>
    <row r="105" spans="3:43" x14ac:dyDescent="0.35">
      <c r="E105" s="32"/>
      <c r="F105" s="78" t="s">
        <v>247</v>
      </c>
      <c r="G105" s="78" t="s">
        <v>207</v>
      </c>
      <c r="H105" s="23"/>
      <c r="I105" s="23"/>
      <c r="J105" s="83"/>
      <c r="K105" s="124">
        <f>'Inputs by customer type'!K70</f>
        <v>0</v>
      </c>
      <c r="L105" s="124">
        <f>'Inputs by customer type'!L70</f>
        <v>0</v>
      </c>
      <c r="M105" s="124">
        <f>'Inputs by customer type'!M70</f>
        <v>0</v>
      </c>
      <c r="N105" s="124">
        <f>'Inputs by customer type'!N70</f>
        <v>0</v>
      </c>
      <c r="O105" s="124">
        <f>'Inputs by customer type'!O70</f>
        <v>0</v>
      </c>
      <c r="P105" s="124">
        <f>'Inputs by customer type'!P70</f>
        <v>0</v>
      </c>
      <c r="Q105" s="83"/>
      <c r="R105" s="124">
        <f>'Inputs by customer type'!R70</f>
        <v>0</v>
      </c>
      <c r="S105" s="83"/>
      <c r="T105" s="124">
        <f>'Inputs by customer type'!T70</f>
        <v>0</v>
      </c>
      <c r="U105" s="124">
        <f>'Inputs by customer type'!U70</f>
        <v>0</v>
      </c>
      <c r="V105" s="83"/>
      <c r="W105" s="83"/>
      <c r="X105" s="83"/>
      <c r="Y105" s="83"/>
      <c r="AQ105" s="3"/>
    </row>
    <row r="106" spans="3:43" x14ac:dyDescent="0.35">
      <c r="E106" s="32"/>
      <c r="F106" s="72" t="s">
        <v>248</v>
      </c>
      <c r="G106" s="72" t="s">
        <v>207</v>
      </c>
      <c r="J106" s="331"/>
      <c r="K106" s="333">
        <f>'Inputs by customer type'!K71</f>
        <v>0</v>
      </c>
      <c r="L106" s="333">
        <f>'Inputs by customer type'!L71</f>
        <v>0</v>
      </c>
      <c r="M106" s="333">
        <f>'Inputs by customer type'!M71</f>
        <v>0</v>
      </c>
      <c r="N106" s="333">
        <f>'Inputs by customer type'!N71</f>
        <v>0</v>
      </c>
      <c r="O106" s="333">
        <f>'Inputs by customer type'!O71</f>
        <v>0</v>
      </c>
      <c r="P106" s="333">
        <f>'Inputs by customer type'!P71</f>
        <v>0</v>
      </c>
      <c r="Q106" s="331"/>
      <c r="R106" s="333">
        <f>'Inputs by customer type'!R71</f>
        <v>0</v>
      </c>
      <c r="S106" s="331"/>
      <c r="T106" s="333">
        <f>'Inputs by customer type'!T71</f>
        <v>0</v>
      </c>
      <c r="U106" s="333">
        <f>'Inputs by customer type'!U71</f>
        <v>0</v>
      </c>
      <c r="V106" s="331"/>
      <c r="W106" s="331"/>
      <c r="X106" s="331"/>
      <c r="Y106" s="331"/>
      <c r="AQ106" s="3"/>
    </row>
    <row r="107" spans="3:43" x14ac:dyDescent="0.35">
      <c r="E107" s="32"/>
      <c r="F107" s="72" t="s">
        <v>249</v>
      </c>
      <c r="G107" s="72" t="s">
        <v>207</v>
      </c>
      <c r="J107" s="331"/>
      <c r="K107" s="333">
        <f>'Inputs by customer type'!K72</f>
        <v>0</v>
      </c>
      <c r="L107" s="333">
        <f>'Inputs by customer type'!L72</f>
        <v>0</v>
      </c>
      <c r="M107" s="333">
        <f>'Inputs by customer type'!M72</f>
        <v>0</v>
      </c>
      <c r="N107" s="333">
        <f>'Inputs by customer type'!N72</f>
        <v>0</v>
      </c>
      <c r="O107" s="333">
        <f>'Inputs by customer type'!O72</f>
        <v>0</v>
      </c>
      <c r="P107" s="333">
        <f>'Inputs by customer type'!P72</f>
        <v>0</v>
      </c>
      <c r="Q107" s="331"/>
      <c r="R107" s="333">
        <f>'Inputs by customer type'!R72</f>
        <v>0</v>
      </c>
      <c r="S107" s="331"/>
      <c r="T107" s="333">
        <f>'Inputs by customer type'!T72</f>
        <v>0</v>
      </c>
      <c r="U107" s="333">
        <f>'Inputs by customer type'!U72</f>
        <v>0</v>
      </c>
      <c r="V107" s="331"/>
      <c r="W107" s="331"/>
      <c r="X107" s="331"/>
      <c r="Y107" s="331"/>
      <c r="AQ107" s="3"/>
    </row>
    <row r="108" spans="3:43" x14ac:dyDescent="0.35">
      <c r="E108" s="32"/>
      <c r="F108" s="72" t="s">
        <v>212</v>
      </c>
      <c r="G108" s="72" t="s">
        <v>212</v>
      </c>
      <c r="J108" s="331"/>
      <c r="K108" s="333">
        <f>'Inputs by customer type'!K73</f>
        <v>0</v>
      </c>
      <c r="L108" s="333">
        <f>'Inputs by customer type'!L73</f>
        <v>0</v>
      </c>
      <c r="M108" s="333">
        <f>'Inputs by customer type'!M73</f>
        <v>0</v>
      </c>
      <c r="N108" s="333">
        <f>'Inputs by customer type'!N73</f>
        <v>0</v>
      </c>
      <c r="O108" s="333">
        <f>'Inputs by customer type'!O73</f>
        <v>0</v>
      </c>
      <c r="P108" s="333">
        <f>'Inputs by customer type'!P73</f>
        <v>0</v>
      </c>
      <c r="Q108" s="331"/>
      <c r="R108" s="333">
        <f>'Inputs by customer type'!R73</f>
        <v>0</v>
      </c>
      <c r="S108" s="331"/>
      <c r="T108" s="333">
        <f>'Inputs by customer type'!T73</f>
        <v>0</v>
      </c>
      <c r="U108" s="333">
        <f>'Inputs by customer type'!U73</f>
        <v>0</v>
      </c>
      <c r="V108" s="331"/>
      <c r="W108" s="331"/>
      <c r="X108" s="331"/>
      <c r="Y108" s="331"/>
      <c r="AQ108" s="3"/>
    </row>
    <row r="109" spans="3:43" x14ac:dyDescent="0.35">
      <c r="E109" s="32"/>
      <c r="F109" s="72" t="s">
        <v>250</v>
      </c>
      <c r="G109" s="72" t="s">
        <v>251</v>
      </c>
      <c r="J109" s="331"/>
      <c r="K109" s="333">
        <f>'Inputs by customer type'!K74</f>
        <v>0</v>
      </c>
      <c r="L109" s="333">
        <f>'Inputs by customer type'!L74</f>
        <v>0</v>
      </c>
      <c r="M109" s="333">
        <f>'Inputs by customer type'!M74</f>
        <v>0</v>
      </c>
      <c r="N109" s="333">
        <f>'Inputs by customer type'!N74</f>
        <v>0</v>
      </c>
      <c r="O109" s="333">
        <f>'Inputs by customer type'!O74</f>
        <v>0</v>
      </c>
      <c r="P109" s="333">
        <f>'Inputs by customer type'!P74</f>
        <v>0</v>
      </c>
      <c r="Q109" s="331"/>
      <c r="R109" s="333">
        <f>'Inputs by customer type'!R74</f>
        <v>0</v>
      </c>
      <c r="S109" s="331"/>
      <c r="T109" s="333">
        <f>'Inputs by customer type'!T74</f>
        <v>0</v>
      </c>
      <c r="U109" s="333">
        <f>'Inputs by customer type'!U74</f>
        <v>0</v>
      </c>
      <c r="V109" s="331"/>
      <c r="W109" s="331"/>
      <c r="X109" s="331"/>
      <c r="Y109" s="331"/>
      <c r="AQ109" s="3"/>
    </row>
    <row r="110" spans="3:43" x14ac:dyDescent="0.35">
      <c r="E110" s="32"/>
      <c r="F110" s="72" t="s">
        <v>252</v>
      </c>
      <c r="G110" s="72" t="s">
        <v>251</v>
      </c>
      <c r="J110" s="331"/>
      <c r="K110" s="333">
        <f>'Inputs by customer type'!K75</f>
        <v>0</v>
      </c>
      <c r="L110" s="333">
        <f>'Inputs by customer type'!L75</f>
        <v>0</v>
      </c>
      <c r="M110" s="333">
        <f>'Inputs by customer type'!M75</f>
        <v>0</v>
      </c>
      <c r="N110" s="333">
        <f>'Inputs by customer type'!N75</f>
        <v>0</v>
      </c>
      <c r="O110" s="333">
        <f>'Inputs by customer type'!O75</f>
        <v>0</v>
      </c>
      <c r="P110" s="333">
        <f>'Inputs by customer type'!P75</f>
        <v>0</v>
      </c>
      <c r="Q110" s="331"/>
      <c r="R110" s="333">
        <f>'Inputs by customer type'!R75</f>
        <v>0</v>
      </c>
      <c r="S110" s="331"/>
      <c r="T110" s="333">
        <f>'Inputs by customer type'!T75</f>
        <v>0</v>
      </c>
      <c r="U110" s="333">
        <f>'Inputs by customer type'!U75</f>
        <v>0</v>
      </c>
      <c r="V110" s="331"/>
      <c r="W110" s="331"/>
      <c r="X110" s="331"/>
      <c r="Y110" s="331"/>
      <c r="AQ110" s="3"/>
    </row>
    <row r="111" spans="3:43" x14ac:dyDescent="0.35">
      <c r="E111" s="32"/>
      <c r="F111" s="80" t="s">
        <v>253</v>
      </c>
      <c r="G111" s="80" t="s">
        <v>254</v>
      </c>
      <c r="H111" s="37"/>
      <c r="I111" s="37"/>
      <c r="J111" s="81"/>
      <c r="K111" s="125">
        <f>'Inputs by customer type'!K76</f>
        <v>0</v>
      </c>
      <c r="L111" s="125">
        <f>'Inputs by customer type'!L76</f>
        <v>0</v>
      </c>
      <c r="M111" s="125">
        <f>'Inputs by customer type'!M76</f>
        <v>0</v>
      </c>
      <c r="N111" s="125">
        <f>'Inputs by customer type'!N76</f>
        <v>0</v>
      </c>
      <c r="O111" s="125">
        <f>'Inputs by customer type'!O76</f>
        <v>0</v>
      </c>
      <c r="P111" s="125">
        <f>'Inputs by customer type'!P76</f>
        <v>0</v>
      </c>
      <c r="Q111" s="81"/>
      <c r="R111" s="125">
        <f>'Inputs by customer type'!R76</f>
        <v>0</v>
      </c>
      <c r="S111" s="81"/>
      <c r="T111" s="125">
        <f>'Inputs by customer type'!T76</f>
        <v>0</v>
      </c>
      <c r="U111" s="125">
        <f>'Inputs by customer type'!U76</f>
        <v>0</v>
      </c>
      <c r="V111" s="81"/>
      <c r="W111" s="81"/>
      <c r="X111" s="81"/>
      <c r="Y111" s="81"/>
      <c r="AQ111" s="3"/>
    </row>
    <row r="112" spans="3:43" x14ac:dyDescent="0.35">
      <c r="C112" s="29"/>
      <c r="AQ112" s="3"/>
    </row>
    <row r="113" spans="5:43" x14ac:dyDescent="0.35">
      <c r="E113" s="32" t="s">
        <v>953</v>
      </c>
      <c r="G113" s="13"/>
      <c r="I113" t="s">
        <v>154</v>
      </c>
      <c r="AQ113" s="3"/>
    </row>
    <row r="114" spans="5:43" x14ac:dyDescent="0.35">
      <c r="E114" s="32"/>
      <c r="F114" s="78" t="s">
        <v>247</v>
      </c>
      <c r="G114" s="78" t="s">
        <v>207</v>
      </c>
      <c r="H114" s="23"/>
      <c r="I114" s="23"/>
      <c r="J114" s="124">
        <f>'Inputs by customer type'!J79</f>
        <v>1256.8602110655297</v>
      </c>
      <c r="K114" s="83"/>
      <c r="L114" s="124">
        <f>'Inputs by customer type'!L79</f>
        <v>0.51035831735977999</v>
      </c>
      <c r="M114" s="83"/>
      <c r="N114" s="124">
        <f>'Inputs by customer type'!N79</f>
        <v>44.577434832967171</v>
      </c>
      <c r="O114" s="124">
        <f>'Inputs by customer type'!O79</f>
        <v>0</v>
      </c>
      <c r="P114" s="124">
        <f>'Inputs by customer type'!P79</f>
        <v>0</v>
      </c>
      <c r="Q114" s="124">
        <f>'Inputs by customer type'!Q79</f>
        <v>4.4156000000000057</v>
      </c>
      <c r="R114" s="83"/>
      <c r="S114" s="83"/>
      <c r="T114" s="83"/>
      <c r="U114" s="83"/>
      <c r="V114" s="83"/>
      <c r="W114" s="83"/>
      <c r="X114" s="83"/>
      <c r="Y114" s="83"/>
      <c r="AQ114" s="3"/>
    </row>
    <row r="115" spans="5:43" x14ac:dyDescent="0.35">
      <c r="E115" s="32"/>
      <c r="F115" s="72" t="s">
        <v>248</v>
      </c>
      <c r="G115" s="72" t="s">
        <v>207</v>
      </c>
      <c r="J115" s="333">
        <f>'Inputs by customer type'!J80</f>
        <v>4351.0341653864743</v>
      </c>
      <c r="K115" s="331"/>
      <c r="L115" s="333">
        <f>'Inputs by customer type'!L80</f>
        <v>2.9862856345890574</v>
      </c>
      <c r="M115" s="331"/>
      <c r="N115" s="333">
        <f>'Inputs by customer type'!N80</f>
        <v>248.48928471097409</v>
      </c>
      <c r="O115" s="333">
        <f>'Inputs by customer type'!O80</f>
        <v>0</v>
      </c>
      <c r="P115" s="333">
        <f>'Inputs by customer type'!P80</f>
        <v>0</v>
      </c>
      <c r="Q115" s="333">
        <f>'Inputs by customer type'!Q80</f>
        <v>146.81940000000003</v>
      </c>
      <c r="R115" s="331"/>
      <c r="S115" s="331"/>
      <c r="T115" s="331"/>
      <c r="U115" s="331"/>
      <c r="V115" s="331"/>
      <c r="W115" s="331"/>
      <c r="X115" s="331"/>
      <c r="Y115" s="331"/>
      <c r="AQ115" s="3"/>
    </row>
    <row r="116" spans="5:43" x14ac:dyDescent="0.35">
      <c r="E116" s="32"/>
      <c r="F116" s="72" t="s">
        <v>249</v>
      </c>
      <c r="G116" s="72" t="s">
        <v>207</v>
      </c>
      <c r="J116" s="333">
        <f>'Inputs by customer type'!J81</f>
        <v>3226.095715157287</v>
      </c>
      <c r="K116" s="331"/>
      <c r="L116" s="333">
        <f>'Inputs by customer type'!L81</f>
        <v>1.5205414991995714</v>
      </c>
      <c r="M116" s="331"/>
      <c r="N116" s="333">
        <f>'Inputs by customer type'!N81</f>
        <v>122.73728250359953</v>
      </c>
      <c r="O116" s="333">
        <f>'Inputs by customer type'!O81</f>
        <v>0</v>
      </c>
      <c r="P116" s="333">
        <f>'Inputs by customer type'!P81</f>
        <v>0</v>
      </c>
      <c r="Q116" s="333">
        <f>'Inputs by customer type'!Q81</f>
        <v>49.511599999999994</v>
      </c>
      <c r="R116" s="331"/>
      <c r="S116" s="331"/>
      <c r="T116" s="331"/>
      <c r="U116" s="331"/>
      <c r="V116" s="331"/>
      <c r="W116" s="331"/>
      <c r="X116" s="331"/>
      <c r="Y116" s="331"/>
      <c r="AQ116" s="3"/>
    </row>
    <row r="117" spans="5:43" x14ac:dyDescent="0.35">
      <c r="E117" s="32"/>
      <c r="F117" s="72" t="s">
        <v>212</v>
      </c>
      <c r="G117" s="72" t="s">
        <v>212</v>
      </c>
      <c r="J117" s="333">
        <f>'Inputs by customer type'!J82</f>
        <v>3073.516129032258</v>
      </c>
      <c r="K117" s="331"/>
      <c r="L117" s="333">
        <f>'Inputs by customer type'!L82</f>
        <v>6.3790580040319442</v>
      </c>
      <c r="M117" s="331"/>
      <c r="N117" s="333">
        <f>'Inputs by customer type'!N82</f>
        <v>4.7852380213986665</v>
      </c>
      <c r="O117" s="333">
        <f>'Inputs by customer type'!O82</f>
        <v>0</v>
      </c>
      <c r="P117" s="333">
        <f>'Inputs by customer type'!P82</f>
        <v>0</v>
      </c>
      <c r="Q117" s="333">
        <f>'Inputs by customer type'!Q82</f>
        <v>2</v>
      </c>
      <c r="R117" s="331"/>
      <c r="S117" s="331"/>
      <c r="T117" s="331"/>
      <c r="U117" s="331"/>
      <c r="V117" s="331"/>
      <c r="W117" s="331"/>
      <c r="X117" s="331"/>
      <c r="Y117" s="331"/>
      <c r="AQ117" s="3"/>
    </row>
    <row r="118" spans="5:43" x14ac:dyDescent="0.35">
      <c r="E118" s="32"/>
      <c r="F118" s="72" t="s">
        <v>250</v>
      </c>
      <c r="G118" s="72" t="s">
        <v>251</v>
      </c>
      <c r="J118" s="333">
        <f>'Inputs by customer type'!J83</f>
        <v>0</v>
      </c>
      <c r="K118" s="331"/>
      <c r="L118" s="333">
        <f>'Inputs by customer type'!L83</f>
        <v>0</v>
      </c>
      <c r="M118" s="331"/>
      <c r="N118" s="333">
        <f>'Inputs by customer type'!N83</f>
        <v>447.28615823346883</v>
      </c>
      <c r="O118" s="333">
        <f>'Inputs by customer type'!O83</f>
        <v>0</v>
      </c>
      <c r="P118" s="333">
        <f>'Inputs by customer type'!P83</f>
        <v>0</v>
      </c>
      <c r="Q118" s="333">
        <f>'Inputs by customer type'!Q83</f>
        <v>0</v>
      </c>
      <c r="R118" s="331"/>
      <c r="S118" s="331"/>
      <c r="T118" s="331"/>
      <c r="U118" s="331"/>
      <c r="V118" s="331"/>
      <c r="W118" s="331"/>
      <c r="X118" s="331"/>
      <c r="Y118" s="331"/>
      <c r="AQ118" s="3"/>
    </row>
    <row r="119" spans="5:43" x14ac:dyDescent="0.35">
      <c r="E119" s="32"/>
      <c r="F119" s="72" t="s">
        <v>252</v>
      </c>
      <c r="G119" s="72" t="s">
        <v>251</v>
      </c>
      <c r="J119" s="333">
        <f>'Inputs by customer type'!J84</f>
        <v>0</v>
      </c>
      <c r="K119" s="331"/>
      <c r="L119" s="333">
        <f>'Inputs by customer type'!L84</f>
        <v>0</v>
      </c>
      <c r="M119" s="331"/>
      <c r="N119" s="333">
        <f>'Inputs by customer type'!N84</f>
        <v>0</v>
      </c>
      <c r="O119" s="333">
        <f>'Inputs by customer type'!O84</f>
        <v>0</v>
      </c>
      <c r="P119" s="333">
        <f>'Inputs by customer type'!P84</f>
        <v>0</v>
      </c>
      <c r="Q119" s="333">
        <f>'Inputs by customer type'!Q84</f>
        <v>0</v>
      </c>
      <c r="R119" s="331"/>
      <c r="S119" s="331"/>
      <c r="T119" s="331"/>
      <c r="U119" s="331"/>
      <c r="V119" s="331"/>
      <c r="W119" s="331"/>
      <c r="X119" s="331"/>
      <c r="Y119" s="331"/>
      <c r="AQ119" s="3"/>
    </row>
    <row r="120" spans="5:43" x14ac:dyDescent="0.35">
      <c r="E120" s="32"/>
      <c r="F120" s="80" t="s">
        <v>253</v>
      </c>
      <c r="G120" s="80" t="s">
        <v>254</v>
      </c>
      <c r="H120" s="37"/>
      <c r="I120" s="37"/>
      <c r="J120" s="125">
        <f>'Inputs by customer type'!J85</f>
        <v>0</v>
      </c>
      <c r="K120" s="81"/>
      <c r="L120" s="125">
        <f>'Inputs by customer type'!L85</f>
        <v>0</v>
      </c>
      <c r="M120" s="81"/>
      <c r="N120" s="125">
        <f>'Inputs by customer type'!N85</f>
        <v>20.740566745371542</v>
      </c>
      <c r="O120" s="125">
        <f>'Inputs by customer type'!O85</f>
        <v>0</v>
      </c>
      <c r="P120" s="125">
        <f>'Inputs by customer type'!P85</f>
        <v>0</v>
      </c>
      <c r="Q120" s="125">
        <f>'Inputs by customer type'!Q85</f>
        <v>0</v>
      </c>
      <c r="R120" s="81"/>
      <c r="S120" s="81"/>
      <c r="T120" s="81"/>
      <c r="U120" s="81"/>
      <c r="V120" s="81"/>
      <c r="W120" s="81"/>
      <c r="X120" s="81"/>
      <c r="Y120" s="81"/>
      <c r="AQ120" s="3"/>
    </row>
    <row r="121" spans="5:43" x14ac:dyDescent="0.35">
      <c r="AQ121" s="3"/>
    </row>
    <row r="122" spans="5:43" x14ac:dyDescent="0.35">
      <c r="E122" s="32" t="s">
        <v>954</v>
      </c>
      <c r="G122" s="13"/>
      <c r="I122" t="s">
        <v>154</v>
      </c>
      <c r="AQ122" s="3"/>
    </row>
    <row r="123" spans="5:43" x14ac:dyDescent="0.35">
      <c r="E123" s="32"/>
      <c r="F123" s="78" t="s">
        <v>247</v>
      </c>
      <c r="G123" s="78" t="s">
        <v>207</v>
      </c>
      <c r="H123" s="23"/>
      <c r="I123" s="23"/>
      <c r="J123" s="83"/>
      <c r="K123" s="83"/>
      <c r="L123" s="124">
        <f>'Inputs by customer type'!L88</f>
        <v>2.4498207867287287</v>
      </c>
      <c r="M123" s="83"/>
      <c r="N123" s="124">
        <f>'Inputs by customer type'!N88</f>
        <v>45.797120152287505</v>
      </c>
      <c r="O123" s="124">
        <f>'Inputs by customer type'!O88</f>
        <v>0</v>
      </c>
      <c r="P123" s="124">
        <f>'Inputs by customer type'!P88</f>
        <v>0</v>
      </c>
      <c r="Q123" s="83"/>
      <c r="R123" s="83"/>
      <c r="S123" s="83"/>
      <c r="T123" s="83"/>
      <c r="U123" s="83"/>
      <c r="V123" s="83"/>
      <c r="W123" s="83"/>
      <c r="X123" s="83"/>
      <c r="Y123" s="83"/>
      <c r="AQ123" s="3"/>
    </row>
    <row r="124" spans="5:43" x14ac:dyDescent="0.35">
      <c r="E124" s="32"/>
      <c r="F124" s="72" t="s">
        <v>248</v>
      </c>
      <c r="G124" s="72" t="s">
        <v>207</v>
      </c>
      <c r="J124" s="331"/>
      <c r="K124" s="331"/>
      <c r="L124" s="333">
        <f>'Inputs by customer type'!L89</f>
        <v>14.334761233191198</v>
      </c>
      <c r="M124" s="331"/>
      <c r="N124" s="333">
        <f>'Inputs by customer type'!N89</f>
        <v>255.28821187459465</v>
      </c>
      <c r="O124" s="333">
        <f>'Inputs by customer type'!O89</f>
        <v>0</v>
      </c>
      <c r="P124" s="333">
        <f>'Inputs by customer type'!P89</f>
        <v>0</v>
      </c>
      <c r="Q124" s="331"/>
      <c r="R124" s="331"/>
      <c r="S124" s="331"/>
      <c r="T124" s="331"/>
      <c r="U124" s="331"/>
      <c r="V124" s="331"/>
      <c r="W124" s="331"/>
      <c r="X124" s="331"/>
      <c r="Y124" s="331"/>
      <c r="AQ124" s="3"/>
    </row>
    <row r="125" spans="5:43" x14ac:dyDescent="0.35">
      <c r="E125" s="32"/>
      <c r="F125" s="72" t="s">
        <v>249</v>
      </c>
      <c r="G125" s="72" t="s">
        <v>207</v>
      </c>
      <c r="J125" s="331"/>
      <c r="K125" s="331"/>
      <c r="L125" s="333">
        <f>'Inputs by customer type'!L90</f>
        <v>7.29889970461043</v>
      </c>
      <c r="M125" s="331"/>
      <c r="N125" s="333">
        <f>'Inputs by customer type'!N90</f>
        <v>126.09550314065156</v>
      </c>
      <c r="O125" s="333">
        <f>'Inputs by customer type'!O90</f>
        <v>0</v>
      </c>
      <c r="P125" s="333">
        <f>'Inputs by customer type'!P90</f>
        <v>0</v>
      </c>
      <c r="Q125" s="331"/>
      <c r="R125" s="331"/>
      <c r="S125" s="331"/>
      <c r="T125" s="331"/>
      <c r="U125" s="331"/>
      <c r="V125" s="331"/>
      <c r="W125" s="331"/>
      <c r="X125" s="331"/>
      <c r="Y125" s="331"/>
      <c r="AQ125" s="3"/>
    </row>
    <row r="126" spans="5:43" x14ac:dyDescent="0.35">
      <c r="E126" s="32"/>
      <c r="F126" s="72" t="s">
        <v>212</v>
      </c>
      <c r="G126" s="72" t="s">
        <v>212</v>
      </c>
      <c r="J126" s="331"/>
      <c r="K126" s="331"/>
      <c r="L126" s="333">
        <f>'Inputs by customer type'!L91</f>
        <v>5.1746259801678187</v>
      </c>
      <c r="M126" s="331"/>
      <c r="N126" s="333">
        <f>'Inputs by customer type'!N91</f>
        <v>2.5755931152116607</v>
      </c>
      <c r="O126" s="333">
        <f>'Inputs by customer type'!O91</f>
        <v>0</v>
      </c>
      <c r="P126" s="333">
        <f>'Inputs by customer type'!P91</f>
        <v>0</v>
      </c>
      <c r="Q126" s="331"/>
      <c r="R126" s="331"/>
      <c r="S126" s="331"/>
      <c r="T126" s="331"/>
      <c r="U126" s="331"/>
      <c r="V126" s="331"/>
      <c r="W126" s="331"/>
      <c r="X126" s="331"/>
      <c r="Y126" s="331"/>
      <c r="AQ126" s="3"/>
    </row>
    <row r="127" spans="5:43" x14ac:dyDescent="0.35">
      <c r="E127" s="32"/>
      <c r="F127" s="72" t="s">
        <v>250</v>
      </c>
      <c r="G127" s="72" t="s">
        <v>251</v>
      </c>
      <c r="J127" s="331"/>
      <c r="K127" s="331"/>
      <c r="L127" s="333">
        <f>'Inputs by customer type'!L92</f>
        <v>0</v>
      </c>
      <c r="M127" s="331"/>
      <c r="N127" s="333">
        <f>'Inputs by customer type'!N92</f>
        <v>459.52437612951286</v>
      </c>
      <c r="O127" s="333">
        <f>'Inputs by customer type'!O92</f>
        <v>0</v>
      </c>
      <c r="P127" s="333">
        <f>'Inputs by customer type'!P92</f>
        <v>0</v>
      </c>
      <c r="Q127" s="331"/>
      <c r="R127" s="331"/>
      <c r="S127" s="331"/>
      <c r="T127" s="331"/>
      <c r="U127" s="331"/>
      <c r="V127" s="331"/>
      <c r="W127" s="331"/>
      <c r="X127" s="331"/>
      <c r="Y127" s="331"/>
      <c r="AQ127" s="3"/>
    </row>
    <row r="128" spans="5:43" x14ac:dyDescent="0.35">
      <c r="E128" s="32"/>
      <c r="F128" s="72" t="s">
        <v>252</v>
      </c>
      <c r="G128" s="72" t="s">
        <v>251</v>
      </c>
      <c r="J128" s="331"/>
      <c r="K128" s="331"/>
      <c r="L128" s="333">
        <f>'Inputs by customer type'!L93</f>
        <v>0</v>
      </c>
      <c r="M128" s="331"/>
      <c r="N128" s="333">
        <f>'Inputs by customer type'!N93</f>
        <v>0</v>
      </c>
      <c r="O128" s="333">
        <f>'Inputs by customer type'!O93</f>
        <v>0</v>
      </c>
      <c r="P128" s="333">
        <f>'Inputs by customer type'!P93</f>
        <v>0</v>
      </c>
      <c r="Q128" s="331"/>
      <c r="R128" s="331"/>
      <c r="S128" s="331"/>
      <c r="T128" s="331"/>
      <c r="U128" s="331"/>
      <c r="V128" s="331"/>
      <c r="W128" s="331"/>
      <c r="X128" s="331"/>
      <c r="Y128" s="331"/>
      <c r="AQ128" s="3"/>
    </row>
    <row r="129" spans="5:43" x14ac:dyDescent="0.35">
      <c r="E129" s="32"/>
      <c r="F129" s="80" t="s">
        <v>253</v>
      </c>
      <c r="G129" s="80" t="s">
        <v>254</v>
      </c>
      <c r="H129" s="37"/>
      <c r="I129" s="37"/>
      <c r="J129" s="81"/>
      <c r="K129" s="81"/>
      <c r="L129" s="125">
        <f>'Inputs by customer type'!L94</f>
        <v>0</v>
      </c>
      <c r="M129" s="81"/>
      <c r="N129" s="125">
        <f>'Inputs by customer type'!N94</f>
        <v>21.308050380724307</v>
      </c>
      <c r="O129" s="125">
        <f>'Inputs by customer type'!O94</f>
        <v>0</v>
      </c>
      <c r="P129" s="125">
        <f>'Inputs by customer type'!P94</f>
        <v>0</v>
      </c>
      <c r="Q129" s="81"/>
      <c r="R129" s="81"/>
      <c r="S129" s="81"/>
      <c r="T129" s="81"/>
      <c r="U129" s="81"/>
      <c r="V129" s="81"/>
      <c r="W129" s="81"/>
      <c r="X129" s="81"/>
      <c r="Y129" s="81"/>
      <c r="AQ129" s="3"/>
    </row>
    <row r="130" spans="5:43" x14ac:dyDescent="0.35">
      <c r="AQ130" s="3"/>
    </row>
    <row r="131" spans="5:43" x14ac:dyDescent="0.35">
      <c r="E131" s="32" t="s">
        <v>955</v>
      </c>
      <c r="G131" s="13"/>
      <c r="I131" t="s">
        <v>154</v>
      </c>
      <c r="AQ131" s="3"/>
    </row>
    <row r="132" spans="5:43" x14ac:dyDescent="0.35">
      <c r="E132" s="32"/>
      <c r="F132" s="78" t="s">
        <v>247</v>
      </c>
      <c r="G132" s="78" t="s">
        <v>207</v>
      </c>
      <c r="H132" s="23"/>
      <c r="I132" s="23"/>
      <c r="J132" s="83"/>
      <c r="K132" s="83"/>
      <c r="L132" s="124">
        <f>'Inputs by customer type'!L97</f>
        <v>3.4133968215722494</v>
      </c>
      <c r="M132" s="83"/>
      <c r="N132" s="124">
        <f>'Inputs by customer type'!N97</f>
        <v>34.627692557253873</v>
      </c>
      <c r="O132" s="124">
        <f>'Inputs by customer type'!O97</f>
        <v>0</v>
      </c>
      <c r="P132" s="124">
        <f>'Inputs by customer type'!P97</f>
        <v>0</v>
      </c>
      <c r="Q132" s="83"/>
      <c r="R132" s="83"/>
      <c r="S132" s="83"/>
      <c r="T132" s="83"/>
      <c r="U132" s="83"/>
      <c r="V132" s="83"/>
      <c r="W132" s="83"/>
      <c r="X132" s="83"/>
      <c r="Y132" s="83"/>
      <c r="AQ132" s="3"/>
    </row>
    <row r="133" spans="5:43" x14ac:dyDescent="0.35">
      <c r="E133" s="32"/>
      <c r="F133" s="72" t="s">
        <v>248</v>
      </c>
      <c r="G133" s="72" t="s">
        <v>207</v>
      </c>
      <c r="J133" s="331"/>
      <c r="K133" s="331"/>
      <c r="L133" s="333">
        <f>'Inputs by customer type'!L98</f>
        <v>19.972982797941306</v>
      </c>
      <c r="M133" s="331"/>
      <c r="N133" s="333">
        <f>'Inputs by customer type'!N98</f>
        <v>193.02614847591028</v>
      </c>
      <c r="O133" s="333">
        <f>'Inputs by customer type'!O98</f>
        <v>0</v>
      </c>
      <c r="P133" s="333">
        <f>'Inputs by customer type'!P98</f>
        <v>0</v>
      </c>
      <c r="Q133" s="331"/>
      <c r="R133" s="331"/>
      <c r="S133" s="331"/>
      <c r="T133" s="331"/>
      <c r="U133" s="331"/>
      <c r="V133" s="331"/>
      <c r="W133" s="331"/>
      <c r="X133" s="331"/>
      <c r="Y133" s="331"/>
      <c r="AQ133" s="3"/>
    </row>
    <row r="134" spans="5:43" x14ac:dyDescent="0.35">
      <c r="E134" s="32"/>
      <c r="F134" s="72" t="s">
        <v>249</v>
      </c>
      <c r="G134" s="72" t="s">
        <v>207</v>
      </c>
      <c r="J134" s="331"/>
      <c r="K134" s="331"/>
      <c r="L134" s="333">
        <f>'Inputs by customer type'!L99</f>
        <v>10.169740246983475</v>
      </c>
      <c r="M134" s="331"/>
      <c r="N134" s="333">
        <f>'Inputs by customer type'!N99</f>
        <v>95.342159094006419</v>
      </c>
      <c r="O134" s="333">
        <f>'Inputs by customer type'!O99</f>
        <v>0</v>
      </c>
      <c r="P134" s="333">
        <f>'Inputs by customer type'!P99</f>
        <v>0</v>
      </c>
      <c r="Q134" s="331"/>
      <c r="R134" s="331"/>
      <c r="S134" s="331"/>
      <c r="T134" s="331"/>
      <c r="U134" s="331"/>
      <c r="V134" s="331"/>
      <c r="W134" s="331"/>
      <c r="X134" s="331"/>
      <c r="Y134" s="331"/>
      <c r="AQ134" s="3"/>
    </row>
    <row r="135" spans="5:43" x14ac:dyDescent="0.35">
      <c r="E135" s="32"/>
      <c r="F135" s="72" t="s">
        <v>212</v>
      </c>
      <c r="G135" s="72" t="s">
        <v>212</v>
      </c>
      <c r="J135" s="331"/>
      <c r="K135" s="331"/>
      <c r="L135" s="333">
        <f>'Inputs by customer type'!L100</f>
        <v>2.9217900304581077</v>
      </c>
      <c r="M135" s="331"/>
      <c r="N135" s="333">
        <f>'Inputs by customer type'!N100</f>
        <v>1.1846797953171033</v>
      </c>
      <c r="O135" s="333">
        <f>'Inputs by customer type'!O100</f>
        <v>0</v>
      </c>
      <c r="P135" s="333">
        <f>'Inputs by customer type'!P100</f>
        <v>0</v>
      </c>
      <c r="Q135" s="331"/>
      <c r="R135" s="331"/>
      <c r="S135" s="331"/>
      <c r="T135" s="331"/>
      <c r="U135" s="331"/>
      <c r="V135" s="331"/>
      <c r="W135" s="331"/>
      <c r="X135" s="331"/>
      <c r="Y135" s="331"/>
      <c r="AQ135" s="3"/>
    </row>
    <row r="136" spans="5:43" x14ac:dyDescent="0.35">
      <c r="E136" s="32"/>
      <c r="F136" s="72" t="s">
        <v>250</v>
      </c>
      <c r="G136" s="72" t="s">
        <v>251</v>
      </c>
      <c r="J136" s="331"/>
      <c r="K136" s="331"/>
      <c r="L136" s="333">
        <f>'Inputs by customer type'!L101</f>
        <v>0</v>
      </c>
      <c r="M136" s="331"/>
      <c r="N136" s="333">
        <f>'Inputs by customer type'!N101</f>
        <v>347.4512975109389</v>
      </c>
      <c r="O136" s="333">
        <f>'Inputs by customer type'!O101</f>
        <v>0</v>
      </c>
      <c r="P136" s="333">
        <f>'Inputs by customer type'!P101</f>
        <v>0</v>
      </c>
      <c r="Q136" s="331"/>
      <c r="R136" s="331"/>
      <c r="S136" s="331"/>
      <c r="T136" s="331"/>
      <c r="U136" s="331"/>
      <c r="V136" s="331"/>
      <c r="W136" s="331"/>
      <c r="X136" s="331"/>
      <c r="Y136" s="331"/>
      <c r="AQ136" s="3"/>
    </row>
    <row r="137" spans="5:43" x14ac:dyDescent="0.35">
      <c r="E137" s="32"/>
      <c r="F137" s="72" t="s">
        <v>252</v>
      </c>
      <c r="G137" s="72" t="s">
        <v>251</v>
      </c>
      <c r="J137" s="331"/>
      <c r="K137" s="331"/>
      <c r="L137" s="333">
        <f>'Inputs by customer type'!L102</f>
        <v>0</v>
      </c>
      <c r="M137" s="331"/>
      <c r="N137" s="333">
        <f>'Inputs by customer type'!N102</f>
        <v>0</v>
      </c>
      <c r="O137" s="333">
        <f>'Inputs by customer type'!O102</f>
        <v>0</v>
      </c>
      <c r="P137" s="333">
        <f>'Inputs by customer type'!P102</f>
        <v>0</v>
      </c>
      <c r="Q137" s="331"/>
      <c r="R137" s="331"/>
      <c r="S137" s="331"/>
      <c r="T137" s="331"/>
      <c r="U137" s="331"/>
      <c r="V137" s="331"/>
      <c r="W137" s="331"/>
      <c r="X137" s="331"/>
      <c r="Y137" s="331"/>
      <c r="AQ137" s="3"/>
    </row>
    <row r="138" spans="5:43" x14ac:dyDescent="0.35">
      <c r="E138" s="32"/>
      <c r="F138" s="80" t="s">
        <v>253</v>
      </c>
      <c r="G138" s="80" t="s">
        <v>254</v>
      </c>
      <c r="H138" s="37"/>
      <c r="I138" s="37"/>
      <c r="J138" s="81"/>
      <c r="K138" s="81"/>
      <c r="L138" s="125">
        <f>'Inputs by customer type'!L103</f>
        <v>0</v>
      </c>
      <c r="M138" s="81"/>
      <c r="N138" s="125">
        <f>'Inputs by customer type'!N103</f>
        <v>16.111244880129064</v>
      </c>
      <c r="O138" s="125">
        <f>'Inputs by customer type'!O103</f>
        <v>0</v>
      </c>
      <c r="P138" s="125">
        <f>'Inputs by customer type'!P103</f>
        <v>0</v>
      </c>
      <c r="Q138" s="81"/>
      <c r="R138" s="81"/>
      <c r="S138" s="81"/>
      <c r="T138" s="81"/>
      <c r="U138" s="81"/>
      <c r="V138" s="81"/>
      <c r="W138" s="81"/>
      <c r="X138" s="81"/>
      <c r="Y138" s="81"/>
      <c r="AQ138" s="3"/>
    </row>
    <row r="139" spans="5:43" x14ac:dyDescent="0.35">
      <c r="AQ139" s="3"/>
    </row>
    <row r="140" spans="5:43" x14ac:dyDescent="0.35">
      <c r="E140" s="32" t="s">
        <v>956</v>
      </c>
      <c r="G140" s="13"/>
      <c r="I140" t="s">
        <v>154</v>
      </c>
      <c r="AQ140" s="3"/>
    </row>
    <row r="141" spans="5:43" x14ac:dyDescent="0.35">
      <c r="E141" s="32"/>
      <c r="F141" s="78" t="s">
        <v>247</v>
      </c>
      <c r="G141" s="78" t="s">
        <v>207</v>
      </c>
      <c r="H141" s="23"/>
      <c r="I141" s="23"/>
      <c r="J141" s="83"/>
      <c r="K141" s="83"/>
      <c r="L141" s="124">
        <f>'Inputs by customer type'!L106</f>
        <v>9.0335722191863557</v>
      </c>
      <c r="M141" s="83"/>
      <c r="N141" s="124">
        <f>'Inputs by customer type'!N106</f>
        <v>94.254160972011633</v>
      </c>
      <c r="O141" s="124">
        <f>'Inputs by customer type'!O106</f>
        <v>0</v>
      </c>
      <c r="P141" s="124">
        <f>'Inputs by customer type'!P106</f>
        <v>0</v>
      </c>
      <c r="Q141" s="83"/>
      <c r="R141" s="83"/>
      <c r="S141" s="83"/>
      <c r="T141" s="83"/>
      <c r="U141" s="83"/>
      <c r="V141" s="83"/>
      <c r="W141" s="83"/>
      <c r="X141" s="83"/>
      <c r="Y141" s="83"/>
      <c r="AQ141" s="3"/>
    </row>
    <row r="142" spans="5:43" x14ac:dyDescent="0.35">
      <c r="E142" s="32"/>
      <c r="F142" s="72" t="s">
        <v>248</v>
      </c>
      <c r="G142" s="72" t="s">
        <v>207</v>
      </c>
      <c r="J142" s="331"/>
      <c r="K142" s="331"/>
      <c r="L142" s="333">
        <f>'Inputs by customer type'!L107</f>
        <v>52.858601554173426</v>
      </c>
      <c r="M142" s="331"/>
      <c r="N142" s="333">
        <f>'Inputs by customer type'!N107</f>
        <v>525.40369648293677</v>
      </c>
      <c r="O142" s="333">
        <f>'Inputs by customer type'!O107</f>
        <v>0</v>
      </c>
      <c r="P142" s="333">
        <f>'Inputs by customer type'!P107</f>
        <v>0</v>
      </c>
      <c r="Q142" s="331"/>
      <c r="R142" s="331"/>
      <c r="S142" s="331"/>
      <c r="T142" s="331"/>
      <c r="U142" s="331"/>
      <c r="V142" s="331"/>
      <c r="W142" s="331"/>
      <c r="X142" s="331"/>
      <c r="Y142" s="331"/>
      <c r="AQ142" s="3"/>
    </row>
    <row r="143" spans="5:43" x14ac:dyDescent="0.35">
      <c r="E143" s="32"/>
      <c r="F143" s="72" t="s">
        <v>249</v>
      </c>
      <c r="G143" s="72" t="s">
        <v>207</v>
      </c>
      <c r="J143" s="331"/>
      <c r="K143" s="331"/>
      <c r="L143" s="333">
        <f>'Inputs by customer type'!L108</f>
        <v>26.914269794502051</v>
      </c>
      <c r="M143" s="331"/>
      <c r="N143" s="333">
        <f>'Inputs by customer type'!N108</f>
        <v>259.51469898860285</v>
      </c>
      <c r="O143" s="333">
        <f>'Inputs by customer type'!O108</f>
        <v>0</v>
      </c>
      <c r="P143" s="333">
        <f>'Inputs by customer type'!P108</f>
        <v>0</v>
      </c>
      <c r="Q143" s="331"/>
      <c r="R143" s="331"/>
      <c r="S143" s="331"/>
      <c r="T143" s="331"/>
      <c r="U143" s="331"/>
      <c r="V143" s="331"/>
      <c r="W143" s="331"/>
      <c r="X143" s="331"/>
      <c r="Y143" s="331"/>
      <c r="AQ143" s="3"/>
    </row>
    <row r="144" spans="5:43" x14ac:dyDescent="0.35">
      <c r="E144" s="32"/>
      <c r="F144" s="72" t="s">
        <v>212</v>
      </c>
      <c r="G144" s="72" t="s">
        <v>212</v>
      </c>
      <c r="J144" s="331"/>
      <c r="K144" s="331"/>
      <c r="L144" s="333">
        <f>'Inputs by customer type'!L109</f>
        <v>2.3632356627614848</v>
      </c>
      <c r="M144" s="331"/>
      <c r="N144" s="333">
        <f>'Inputs by customer type'!N109</f>
        <v>1.4544890680725695</v>
      </c>
      <c r="O144" s="333">
        <f>'Inputs by customer type'!O109</f>
        <v>0</v>
      </c>
      <c r="P144" s="333">
        <f>'Inputs by customer type'!P109</f>
        <v>0</v>
      </c>
      <c r="Q144" s="331"/>
      <c r="R144" s="331"/>
      <c r="S144" s="331"/>
      <c r="T144" s="331"/>
      <c r="U144" s="331"/>
      <c r="V144" s="331"/>
      <c r="W144" s="331"/>
      <c r="X144" s="331"/>
      <c r="Y144" s="331"/>
      <c r="AQ144" s="3"/>
    </row>
    <row r="145" spans="3:43" x14ac:dyDescent="0.35">
      <c r="E145" s="32"/>
      <c r="F145" s="72" t="s">
        <v>250</v>
      </c>
      <c r="G145" s="72" t="s">
        <v>251</v>
      </c>
      <c r="J145" s="331"/>
      <c r="K145" s="331"/>
      <c r="L145" s="333">
        <f>'Inputs by customer type'!L110</f>
        <v>0</v>
      </c>
      <c r="M145" s="331"/>
      <c r="N145" s="333">
        <f>'Inputs by customer type'!N110</f>
        <v>945.73816812607902</v>
      </c>
      <c r="O145" s="333">
        <f>'Inputs by customer type'!O110</f>
        <v>0</v>
      </c>
      <c r="P145" s="333">
        <f>'Inputs by customer type'!P110</f>
        <v>0</v>
      </c>
      <c r="Q145" s="331"/>
      <c r="R145" s="331"/>
      <c r="S145" s="331"/>
      <c r="T145" s="331"/>
      <c r="U145" s="331"/>
      <c r="V145" s="331"/>
      <c r="W145" s="331"/>
      <c r="X145" s="331"/>
      <c r="Y145" s="331"/>
      <c r="AQ145" s="3"/>
    </row>
    <row r="146" spans="3:43" x14ac:dyDescent="0.35">
      <c r="E146" s="32"/>
      <c r="F146" s="72" t="s">
        <v>252</v>
      </c>
      <c r="G146" s="72" t="s">
        <v>251</v>
      </c>
      <c r="J146" s="331"/>
      <c r="K146" s="331"/>
      <c r="L146" s="333">
        <f>'Inputs by customer type'!L111</f>
        <v>0</v>
      </c>
      <c r="M146" s="331"/>
      <c r="N146" s="333">
        <f>'Inputs by customer type'!N111</f>
        <v>0</v>
      </c>
      <c r="O146" s="333">
        <f>'Inputs by customer type'!O111</f>
        <v>0</v>
      </c>
      <c r="P146" s="333">
        <f>'Inputs by customer type'!P111</f>
        <v>0</v>
      </c>
      <c r="Q146" s="331"/>
      <c r="R146" s="331"/>
      <c r="S146" s="331"/>
      <c r="T146" s="331"/>
      <c r="U146" s="331"/>
      <c r="V146" s="331"/>
      <c r="W146" s="331"/>
      <c r="X146" s="331"/>
      <c r="Y146" s="331"/>
      <c r="AQ146" s="3"/>
    </row>
    <row r="147" spans="3:43" x14ac:dyDescent="0.35">
      <c r="E147" s="32"/>
      <c r="F147" s="80" t="s">
        <v>253</v>
      </c>
      <c r="G147" s="80" t="s">
        <v>254</v>
      </c>
      <c r="H147" s="37"/>
      <c r="I147" s="37"/>
      <c r="J147" s="81"/>
      <c r="K147" s="81"/>
      <c r="L147" s="125">
        <f>'Inputs by customer type'!L112</f>
        <v>0</v>
      </c>
      <c r="M147" s="81"/>
      <c r="N147" s="125">
        <f>'Inputs by customer type'!N112</f>
        <v>43.853683461015763</v>
      </c>
      <c r="O147" s="125">
        <f>'Inputs by customer type'!O112</f>
        <v>0</v>
      </c>
      <c r="P147" s="125">
        <f>'Inputs by customer type'!P112</f>
        <v>0</v>
      </c>
      <c r="Q147" s="81"/>
      <c r="R147" s="81"/>
      <c r="S147" s="81"/>
      <c r="T147" s="81"/>
      <c r="U147" s="81"/>
      <c r="V147" s="81"/>
      <c r="W147" s="81"/>
      <c r="X147" s="81"/>
      <c r="Y147" s="81"/>
      <c r="AQ147" s="3"/>
    </row>
    <row r="148" spans="3:43" x14ac:dyDescent="0.35">
      <c r="AQ148" s="3"/>
    </row>
    <row r="149" spans="3:43" x14ac:dyDescent="0.35">
      <c r="C149" s="29"/>
      <c r="D149" s="29" t="s">
        <v>966</v>
      </c>
      <c r="AQ149" s="3"/>
    </row>
    <row r="150" spans="3:43" x14ac:dyDescent="0.35">
      <c r="AQ150" s="3"/>
    </row>
    <row r="151" spans="3:43" x14ac:dyDescent="0.35">
      <c r="E151" s="32" t="s">
        <v>911</v>
      </c>
      <c r="G151" s="13"/>
      <c r="I151" t="s">
        <v>154</v>
      </c>
      <c r="AQ151" s="3"/>
    </row>
    <row r="152" spans="3:43" x14ac:dyDescent="0.35">
      <c r="E152" s="32"/>
      <c r="F152" s="78" t="s">
        <v>247</v>
      </c>
      <c r="G152" s="78" t="s">
        <v>207</v>
      </c>
      <c r="H152" s="23"/>
      <c r="I152" s="23"/>
      <c r="J152" s="83"/>
      <c r="K152" s="124">
        <f>'Inputs by customer type'!K117</f>
        <v>0</v>
      </c>
      <c r="L152" s="124">
        <f>'Inputs by customer type'!L117</f>
        <v>0</v>
      </c>
      <c r="M152" s="124">
        <f>'Inputs by customer type'!M117</f>
        <v>0</v>
      </c>
      <c r="N152" s="124">
        <f>'Inputs by customer type'!N117</f>
        <v>0</v>
      </c>
      <c r="O152" s="124">
        <f>'Inputs by customer type'!O117</f>
        <v>0</v>
      </c>
      <c r="P152" s="124">
        <f>'Inputs by customer type'!P117</f>
        <v>0</v>
      </c>
      <c r="Q152" s="83"/>
      <c r="R152" s="124">
        <f>'Inputs by customer type'!R117</f>
        <v>0</v>
      </c>
      <c r="S152" s="124">
        <f>'Inputs by customer type'!S117</f>
        <v>0</v>
      </c>
      <c r="T152" s="124">
        <f>'Inputs by customer type'!T117</f>
        <v>0</v>
      </c>
      <c r="U152" s="124">
        <f>'Inputs by customer type'!U117</f>
        <v>0</v>
      </c>
      <c r="V152" s="124">
        <f>'Inputs by customer type'!V117</f>
        <v>0</v>
      </c>
      <c r="W152" s="124">
        <f>'Inputs by customer type'!W117</f>
        <v>0</v>
      </c>
      <c r="X152" s="124">
        <f>'Inputs by customer type'!X117</f>
        <v>0</v>
      </c>
      <c r="Y152" s="124">
        <f>'Inputs by customer type'!Y117</f>
        <v>0</v>
      </c>
      <c r="AQ152" s="3"/>
    </row>
    <row r="153" spans="3:43" x14ac:dyDescent="0.35">
      <c r="E153" s="32"/>
      <c r="F153" s="72" t="s">
        <v>248</v>
      </c>
      <c r="G153" s="72" t="s">
        <v>207</v>
      </c>
      <c r="J153" s="331"/>
      <c r="K153" s="333">
        <f>'Inputs by customer type'!K118</f>
        <v>0</v>
      </c>
      <c r="L153" s="333">
        <f>'Inputs by customer type'!L118</f>
        <v>0</v>
      </c>
      <c r="M153" s="333">
        <f>'Inputs by customer type'!M118</f>
        <v>0</v>
      </c>
      <c r="N153" s="333">
        <f>'Inputs by customer type'!N118</f>
        <v>0</v>
      </c>
      <c r="O153" s="333">
        <f>'Inputs by customer type'!O118</f>
        <v>0</v>
      </c>
      <c r="P153" s="333">
        <f>'Inputs by customer type'!P118</f>
        <v>0</v>
      </c>
      <c r="Q153" s="331"/>
      <c r="R153" s="333">
        <f>'Inputs by customer type'!R118</f>
        <v>0</v>
      </c>
      <c r="S153" s="333">
        <f>'Inputs by customer type'!S118</f>
        <v>0</v>
      </c>
      <c r="T153" s="333">
        <f>'Inputs by customer type'!T118</f>
        <v>0</v>
      </c>
      <c r="U153" s="333">
        <f>'Inputs by customer type'!U118</f>
        <v>0</v>
      </c>
      <c r="V153" s="333">
        <f>'Inputs by customer type'!V118</f>
        <v>0</v>
      </c>
      <c r="W153" s="333">
        <f>'Inputs by customer type'!W118</f>
        <v>0</v>
      </c>
      <c r="X153" s="333">
        <f>'Inputs by customer type'!X118</f>
        <v>0</v>
      </c>
      <c r="Y153" s="333">
        <f>'Inputs by customer type'!Y118</f>
        <v>0</v>
      </c>
      <c r="AQ153" s="3"/>
    </row>
    <row r="154" spans="3:43" x14ac:dyDescent="0.35">
      <c r="E154" s="32"/>
      <c r="F154" s="72" t="s">
        <v>249</v>
      </c>
      <c r="G154" s="72" t="s">
        <v>207</v>
      </c>
      <c r="J154" s="331"/>
      <c r="K154" s="333">
        <f>'Inputs by customer type'!K119</f>
        <v>0</v>
      </c>
      <c r="L154" s="333">
        <f>'Inputs by customer type'!L119</f>
        <v>0</v>
      </c>
      <c r="M154" s="333">
        <f>'Inputs by customer type'!M119</f>
        <v>0</v>
      </c>
      <c r="N154" s="333">
        <f>'Inputs by customer type'!N119</f>
        <v>0</v>
      </c>
      <c r="O154" s="333">
        <f>'Inputs by customer type'!O119</f>
        <v>0</v>
      </c>
      <c r="P154" s="333">
        <f>'Inputs by customer type'!P119</f>
        <v>0</v>
      </c>
      <c r="Q154" s="331"/>
      <c r="R154" s="333">
        <f>'Inputs by customer type'!R119</f>
        <v>0</v>
      </c>
      <c r="S154" s="333">
        <f>'Inputs by customer type'!S119</f>
        <v>0</v>
      </c>
      <c r="T154" s="333">
        <f>'Inputs by customer type'!T119</f>
        <v>0</v>
      </c>
      <c r="U154" s="333">
        <f>'Inputs by customer type'!U119</f>
        <v>0</v>
      </c>
      <c r="V154" s="333">
        <f>'Inputs by customer type'!V119</f>
        <v>0</v>
      </c>
      <c r="W154" s="333">
        <f>'Inputs by customer type'!W119</f>
        <v>0</v>
      </c>
      <c r="X154" s="333">
        <f>'Inputs by customer type'!X119</f>
        <v>0</v>
      </c>
      <c r="Y154" s="333">
        <f>'Inputs by customer type'!Y119</f>
        <v>0</v>
      </c>
      <c r="AQ154" s="3"/>
    </row>
    <row r="155" spans="3:43" x14ac:dyDescent="0.35">
      <c r="E155" s="32"/>
      <c r="F155" s="72" t="s">
        <v>212</v>
      </c>
      <c r="G155" s="72" t="s">
        <v>212</v>
      </c>
      <c r="J155" s="331"/>
      <c r="K155" s="333">
        <f>'Inputs by customer type'!K120</f>
        <v>0</v>
      </c>
      <c r="L155" s="333">
        <f>'Inputs by customer type'!L120</f>
        <v>0</v>
      </c>
      <c r="M155" s="333">
        <f>'Inputs by customer type'!M120</f>
        <v>0</v>
      </c>
      <c r="N155" s="333">
        <f>'Inputs by customer type'!N120</f>
        <v>0</v>
      </c>
      <c r="O155" s="333">
        <f>'Inputs by customer type'!O120</f>
        <v>0</v>
      </c>
      <c r="P155" s="333">
        <f>'Inputs by customer type'!P120</f>
        <v>0</v>
      </c>
      <c r="Q155" s="331"/>
      <c r="R155" s="333">
        <f>'Inputs by customer type'!R120</f>
        <v>0</v>
      </c>
      <c r="S155" s="333">
        <f>'Inputs by customer type'!S120</f>
        <v>0</v>
      </c>
      <c r="T155" s="333">
        <f>'Inputs by customer type'!T120</f>
        <v>0</v>
      </c>
      <c r="U155" s="333">
        <f>'Inputs by customer type'!U120</f>
        <v>0</v>
      </c>
      <c r="V155" s="333">
        <f>'Inputs by customer type'!V120</f>
        <v>0</v>
      </c>
      <c r="W155" s="333">
        <f>'Inputs by customer type'!W120</f>
        <v>0</v>
      </c>
      <c r="X155" s="333">
        <f>'Inputs by customer type'!X120</f>
        <v>0</v>
      </c>
      <c r="Y155" s="333">
        <f>'Inputs by customer type'!Y120</f>
        <v>0</v>
      </c>
      <c r="AQ155" s="3"/>
    </row>
    <row r="156" spans="3:43" x14ac:dyDescent="0.35">
      <c r="E156" s="32"/>
      <c r="F156" s="72" t="s">
        <v>250</v>
      </c>
      <c r="G156" s="72" t="s">
        <v>251</v>
      </c>
      <c r="J156" s="331"/>
      <c r="K156" s="333">
        <f>'Inputs by customer type'!K121</f>
        <v>0</v>
      </c>
      <c r="L156" s="333">
        <f>'Inputs by customer type'!L121</f>
        <v>0</v>
      </c>
      <c r="M156" s="333">
        <f>'Inputs by customer type'!M121</f>
        <v>0</v>
      </c>
      <c r="N156" s="333">
        <f>'Inputs by customer type'!N121</f>
        <v>0</v>
      </c>
      <c r="O156" s="333">
        <f>'Inputs by customer type'!O121</f>
        <v>0</v>
      </c>
      <c r="P156" s="333">
        <f>'Inputs by customer type'!P121</f>
        <v>0</v>
      </c>
      <c r="Q156" s="331"/>
      <c r="R156" s="333">
        <f>'Inputs by customer type'!R121</f>
        <v>0</v>
      </c>
      <c r="S156" s="333">
        <f>'Inputs by customer type'!S121</f>
        <v>0</v>
      </c>
      <c r="T156" s="333">
        <f>'Inputs by customer type'!T121</f>
        <v>0</v>
      </c>
      <c r="U156" s="333">
        <f>'Inputs by customer type'!U121</f>
        <v>0</v>
      </c>
      <c r="V156" s="333">
        <f>'Inputs by customer type'!V121</f>
        <v>0</v>
      </c>
      <c r="W156" s="333">
        <f>'Inputs by customer type'!W121</f>
        <v>0</v>
      </c>
      <c r="X156" s="333">
        <f>'Inputs by customer type'!X121</f>
        <v>0</v>
      </c>
      <c r="Y156" s="333">
        <f>'Inputs by customer type'!Y121</f>
        <v>0</v>
      </c>
      <c r="AQ156" s="3"/>
    </row>
    <row r="157" spans="3:43" x14ac:dyDescent="0.35">
      <c r="E157" s="32"/>
      <c r="F157" s="72" t="s">
        <v>252</v>
      </c>
      <c r="G157" s="72" t="s">
        <v>251</v>
      </c>
      <c r="J157" s="331"/>
      <c r="K157" s="333">
        <f>'Inputs by customer type'!K122</f>
        <v>0</v>
      </c>
      <c r="L157" s="333">
        <f>'Inputs by customer type'!L122</f>
        <v>0</v>
      </c>
      <c r="M157" s="333">
        <f>'Inputs by customer type'!M122</f>
        <v>0</v>
      </c>
      <c r="N157" s="333">
        <f>'Inputs by customer type'!N122</f>
        <v>0</v>
      </c>
      <c r="O157" s="333">
        <f>'Inputs by customer type'!O122</f>
        <v>0</v>
      </c>
      <c r="P157" s="333">
        <f>'Inputs by customer type'!P122</f>
        <v>0</v>
      </c>
      <c r="Q157" s="331"/>
      <c r="R157" s="333">
        <f>'Inputs by customer type'!R122</f>
        <v>0</v>
      </c>
      <c r="S157" s="333">
        <f>'Inputs by customer type'!S122</f>
        <v>0</v>
      </c>
      <c r="T157" s="333">
        <f>'Inputs by customer type'!T122</f>
        <v>0</v>
      </c>
      <c r="U157" s="333">
        <f>'Inputs by customer type'!U122</f>
        <v>0</v>
      </c>
      <c r="V157" s="333">
        <f>'Inputs by customer type'!V122</f>
        <v>0</v>
      </c>
      <c r="W157" s="333">
        <f>'Inputs by customer type'!W122</f>
        <v>0</v>
      </c>
      <c r="X157" s="333">
        <f>'Inputs by customer type'!X122</f>
        <v>0</v>
      </c>
      <c r="Y157" s="333">
        <f>'Inputs by customer type'!Y122</f>
        <v>0</v>
      </c>
      <c r="AQ157" s="3"/>
    </row>
    <row r="158" spans="3:43" x14ac:dyDescent="0.35">
      <c r="E158" s="32"/>
      <c r="F158" s="80" t="s">
        <v>253</v>
      </c>
      <c r="G158" s="80" t="s">
        <v>254</v>
      </c>
      <c r="H158" s="37"/>
      <c r="I158" s="37"/>
      <c r="J158" s="81"/>
      <c r="K158" s="125">
        <f>'Inputs by customer type'!K123</f>
        <v>0</v>
      </c>
      <c r="L158" s="125">
        <f>'Inputs by customer type'!L123</f>
        <v>0</v>
      </c>
      <c r="M158" s="125">
        <f>'Inputs by customer type'!M123</f>
        <v>0</v>
      </c>
      <c r="N158" s="125">
        <f>'Inputs by customer type'!N123</f>
        <v>0</v>
      </c>
      <c r="O158" s="125">
        <f>'Inputs by customer type'!O123</f>
        <v>0</v>
      </c>
      <c r="P158" s="125">
        <f>'Inputs by customer type'!P123</f>
        <v>0</v>
      </c>
      <c r="Q158" s="81"/>
      <c r="R158" s="125">
        <f>'Inputs by customer type'!R123</f>
        <v>0</v>
      </c>
      <c r="S158" s="125">
        <f>'Inputs by customer type'!S123</f>
        <v>0</v>
      </c>
      <c r="T158" s="125">
        <f>'Inputs by customer type'!T123</f>
        <v>0</v>
      </c>
      <c r="U158" s="125">
        <f>'Inputs by customer type'!U123</f>
        <v>0</v>
      </c>
      <c r="V158" s="125">
        <f>'Inputs by customer type'!V123</f>
        <v>0</v>
      </c>
      <c r="W158" s="125">
        <f>'Inputs by customer type'!W123</f>
        <v>0</v>
      </c>
      <c r="X158" s="125">
        <f>'Inputs by customer type'!X123</f>
        <v>0</v>
      </c>
      <c r="Y158" s="125">
        <f>'Inputs by customer type'!Y123</f>
        <v>0</v>
      </c>
      <c r="AQ158" s="3"/>
    </row>
    <row r="159" spans="3:43" x14ac:dyDescent="0.35">
      <c r="AQ159" s="3"/>
    </row>
    <row r="160" spans="3:43" x14ac:dyDescent="0.35">
      <c r="E160" s="32" t="s">
        <v>957</v>
      </c>
      <c r="G160" s="13"/>
      <c r="I160" t="s">
        <v>154</v>
      </c>
      <c r="AQ160" s="3"/>
    </row>
    <row r="161" spans="5:43" x14ac:dyDescent="0.35">
      <c r="E161" s="32"/>
      <c r="F161" s="78" t="s">
        <v>247</v>
      </c>
      <c r="G161" s="78" t="s">
        <v>207</v>
      </c>
      <c r="H161" s="23"/>
      <c r="I161" s="23"/>
      <c r="J161" s="124">
        <f>'Inputs by customer type'!J126</f>
        <v>2739.2268624643116</v>
      </c>
      <c r="K161" s="83"/>
      <c r="L161" s="124">
        <f>'Inputs by customer type'!L126</f>
        <v>4.5522385547304216</v>
      </c>
      <c r="M161" s="83"/>
      <c r="N161" s="124">
        <f>'Inputs by customer type'!N126</f>
        <v>122.56925388587857</v>
      </c>
      <c r="O161" s="124">
        <f>'Inputs by customer type'!O126</f>
        <v>5.6441886745225016</v>
      </c>
      <c r="P161" s="124">
        <f>'Inputs by customer type'!P126</f>
        <v>0.66105333572489777</v>
      </c>
      <c r="Q161" s="124">
        <f>'Inputs by customer type'!Q126</f>
        <v>0</v>
      </c>
      <c r="R161" s="83"/>
      <c r="S161" s="83"/>
      <c r="T161" s="83"/>
      <c r="U161" s="83"/>
      <c r="V161" s="83"/>
      <c r="W161" s="83"/>
      <c r="X161" s="83"/>
      <c r="Y161" s="83"/>
      <c r="AQ161" s="3"/>
    </row>
    <row r="162" spans="5:43" x14ac:dyDescent="0.35">
      <c r="E162" s="32"/>
      <c r="F162" s="72" t="s">
        <v>248</v>
      </c>
      <c r="G162" s="72" t="s">
        <v>207</v>
      </c>
      <c r="J162" s="333">
        <f>'Inputs by customer type'!J127</f>
        <v>10465.580404895036</v>
      </c>
      <c r="K162" s="331"/>
      <c r="L162" s="333">
        <f>'Inputs by customer type'!L127</f>
        <v>24.337727229138469</v>
      </c>
      <c r="M162" s="331"/>
      <c r="N162" s="333">
        <f>'Inputs by customer type'!N127</f>
        <v>927.9349906911998</v>
      </c>
      <c r="O162" s="333">
        <f>'Inputs by customer type'!O127</f>
        <v>25.033464063710976</v>
      </c>
      <c r="P162" s="333">
        <f>'Inputs by customer type'!P127</f>
        <v>2.7760263821069309</v>
      </c>
      <c r="Q162" s="333">
        <f>'Inputs by customer type'!Q127</f>
        <v>0.65693548387096823</v>
      </c>
      <c r="R162" s="331"/>
      <c r="S162" s="331"/>
      <c r="T162" s="331"/>
      <c r="U162" s="331"/>
      <c r="V162" s="331"/>
      <c r="W162" s="331"/>
      <c r="X162" s="331"/>
      <c r="Y162" s="331"/>
      <c r="AQ162" s="3"/>
    </row>
    <row r="163" spans="5:43" x14ac:dyDescent="0.35">
      <c r="E163" s="32"/>
      <c r="F163" s="72" t="s">
        <v>249</v>
      </c>
      <c r="G163" s="72" t="s">
        <v>207</v>
      </c>
      <c r="J163" s="333">
        <f>'Inputs by customer type'!J128</f>
        <v>7996.9438121945923</v>
      </c>
      <c r="K163" s="331"/>
      <c r="L163" s="333">
        <f>'Inputs by customer type'!L128</f>
        <v>13.54348428198894</v>
      </c>
      <c r="M163" s="331"/>
      <c r="N163" s="333">
        <f>'Inputs by customer type'!N128</f>
        <v>771.32540814144784</v>
      </c>
      <c r="O163" s="333">
        <f>'Inputs by customer type'!O128</f>
        <v>27.488787649244045</v>
      </c>
      <c r="P163" s="333">
        <f>'Inputs by customer type'!P128</f>
        <v>2.1244230506994759</v>
      </c>
      <c r="Q163" s="333">
        <f>'Inputs by customer type'!Q128</f>
        <v>0.37541935483870986</v>
      </c>
      <c r="R163" s="331"/>
      <c r="S163" s="331"/>
      <c r="T163" s="331"/>
      <c r="U163" s="331"/>
      <c r="V163" s="331"/>
      <c r="W163" s="331"/>
      <c r="X163" s="331"/>
      <c r="Y163" s="331"/>
      <c r="AQ163" s="3"/>
    </row>
    <row r="164" spans="5:43" x14ac:dyDescent="0.35">
      <c r="E164" s="32"/>
      <c r="F164" s="72" t="s">
        <v>212</v>
      </c>
      <c r="G164" s="72" t="s">
        <v>212</v>
      </c>
      <c r="J164" s="333">
        <f>'Inputs by customer type'!J129</f>
        <v>7619.4875686369887</v>
      </c>
      <c r="K164" s="331"/>
      <c r="L164" s="333">
        <f>'Inputs by customer type'!L129</f>
        <v>30.663925947662449</v>
      </c>
      <c r="M164" s="331"/>
      <c r="N164" s="333">
        <f>'Inputs by customer type'!N129</f>
        <v>6.2806667441171582</v>
      </c>
      <c r="O164" s="333">
        <f>'Inputs by customer type'!O129</f>
        <v>0.16363636363636364</v>
      </c>
      <c r="P164" s="333">
        <f>'Inputs by customer type'!P129</f>
        <v>0.61595273264401773</v>
      </c>
      <c r="Q164" s="333">
        <f>'Inputs by customer type'!Q129</f>
        <v>3.7419354838709675</v>
      </c>
      <c r="R164" s="331"/>
      <c r="S164" s="331"/>
      <c r="T164" s="331"/>
      <c r="U164" s="331"/>
      <c r="V164" s="331"/>
      <c r="W164" s="331"/>
      <c r="X164" s="331"/>
      <c r="Y164" s="331"/>
      <c r="AQ164" s="3"/>
    </row>
    <row r="165" spans="5:43" x14ac:dyDescent="0.35">
      <c r="E165" s="32"/>
      <c r="F165" s="72" t="s">
        <v>250</v>
      </c>
      <c r="G165" s="72" t="s">
        <v>251</v>
      </c>
      <c r="J165" s="333">
        <f>'Inputs by customer type'!J130</f>
        <v>0</v>
      </c>
      <c r="K165" s="331"/>
      <c r="L165" s="333">
        <f>'Inputs by customer type'!L130</f>
        <v>0</v>
      </c>
      <c r="M165" s="331"/>
      <c r="N165" s="333">
        <f>'Inputs by customer type'!N130</f>
        <v>668.8402588864227</v>
      </c>
      <c r="O165" s="333">
        <f>'Inputs by customer type'!O130</f>
        <v>54.399435145316467</v>
      </c>
      <c r="P165" s="333">
        <f>'Inputs by customer type'!P130</f>
        <v>1646.4817187231479</v>
      </c>
      <c r="Q165" s="333">
        <f>'Inputs by customer type'!Q130</f>
        <v>0</v>
      </c>
      <c r="R165" s="331"/>
      <c r="S165" s="331"/>
      <c r="T165" s="331"/>
      <c r="U165" s="331"/>
      <c r="V165" s="331"/>
      <c r="W165" s="331"/>
      <c r="X165" s="331"/>
      <c r="Y165" s="331"/>
      <c r="AQ165" s="3"/>
    </row>
    <row r="166" spans="5:43" x14ac:dyDescent="0.35">
      <c r="E166" s="32"/>
      <c r="F166" s="72" t="s">
        <v>252</v>
      </c>
      <c r="G166" s="72" t="s">
        <v>251</v>
      </c>
      <c r="J166" s="333">
        <f>'Inputs by customer type'!J131</f>
        <v>0</v>
      </c>
      <c r="K166" s="331"/>
      <c r="L166" s="333">
        <f>'Inputs by customer type'!L131</f>
        <v>0</v>
      </c>
      <c r="M166" s="331"/>
      <c r="N166" s="333">
        <f>'Inputs by customer type'!N131</f>
        <v>5.5359238884504505</v>
      </c>
      <c r="O166" s="333">
        <f>'Inputs by customer type'!O131</f>
        <v>0</v>
      </c>
      <c r="P166" s="333">
        <f>'Inputs by customer type'!P131</f>
        <v>0</v>
      </c>
      <c r="Q166" s="333">
        <f>'Inputs by customer type'!Q131</f>
        <v>0</v>
      </c>
      <c r="R166" s="331"/>
      <c r="S166" s="331"/>
      <c r="T166" s="331"/>
      <c r="U166" s="331"/>
      <c r="V166" s="331"/>
      <c r="W166" s="331"/>
      <c r="X166" s="331"/>
      <c r="Y166" s="331"/>
      <c r="AQ166" s="3"/>
    </row>
    <row r="167" spans="5:43" x14ac:dyDescent="0.35">
      <c r="E167" s="32"/>
      <c r="F167" s="80" t="s">
        <v>253</v>
      </c>
      <c r="G167" s="80" t="s">
        <v>254</v>
      </c>
      <c r="H167" s="37"/>
      <c r="I167" s="37"/>
      <c r="J167" s="125">
        <f>'Inputs by customer type'!J132</f>
        <v>0</v>
      </c>
      <c r="K167" s="81"/>
      <c r="L167" s="125">
        <f>'Inputs by customer type'!L132</f>
        <v>0</v>
      </c>
      <c r="M167" s="81"/>
      <c r="N167" s="125">
        <f>'Inputs by customer type'!N132</f>
        <v>108.1683492538001</v>
      </c>
      <c r="O167" s="125">
        <f>'Inputs by customer type'!O132</f>
        <v>2.1735384039216713E-2</v>
      </c>
      <c r="P167" s="125">
        <f>'Inputs by customer type'!P132</f>
        <v>0</v>
      </c>
      <c r="Q167" s="125">
        <f>'Inputs by customer type'!Q132</f>
        <v>0</v>
      </c>
      <c r="R167" s="81"/>
      <c r="S167" s="81"/>
      <c r="T167" s="81"/>
      <c r="U167" s="81"/>
      <c r="V167" s="81"/>
      <c r="W167" s="81"/>
      <c r="X167" s="81"/>
      <c r="Y167" s="81"/>
      <c r="AQ167" s="3"/>
    </row>
    <row r="168" spans="5:43" x14ac:dyDescent="0.35">
      <c r="AQ168" s="3"/>
    </row>
    <row r="169" spans="5:43" x14ac:dyDescent="0.35">
      <c r="E169" s="32" t="s">
        <v>958</v>
      </c>
      <c r="G169" s="13"/>
      <c r="I169" t="s">
        <v>154</v>
      </c>
      <c r="AQ169" s="3"/>
    </row>
    <row r="170" spans="5:43" x14ac:dyDescent="0.35">
      <c r="E170" s="32"/>
      <c r="F170" s="78" t="s">
        <v>247</v>
      </c>
      <c r="G170" s="78" t="s">
        <v>207</v>
      </c>
      <c r="H170" s="23"/>
      <c r="I170" s="23"/>
      <c r="J170" s="83"/>
      <c r="K170" s="83"/>
      <c r="L170" s="124">
        <f>'Inputs by customer type'!L135</f>
        <v>21.851644733095917</v>
      </c>
      <c r="M170" s="83"/>
      <c r="N170" s="124">
        <f>'Inputs by customer type'!N135</f>
        <v>125.92287708391179</v>
      </c>
      <c r="O170" s="124">
        <f>'Inputs by customer type'!O135</f>
        <v>3.4619146204801168</v>
      </c>
      <c r="P170" s="124">
        <f>'Inputs by customer type'!P135</f>
        <v>1.838095757152941</v>
      </c>
      <c r="Q170" s="83"/>
      <c r="R170" s="83"/>
      <c r="S170" s="83"/>
      <c r="T170" s="83"/>
      <c r="U170" s="83"/>
      <c r="V170" s="83"/>
      <c r="W170" s="83"/>
      <c r="X170" s="83"/>
      <c r="Y170" s="83"/>
      <c r="AQ170" s="3"/>
    </row>
    <row r="171" spans="5:43" x14ac:dyDescent="0.35">
      <c r="E171" s="32"/>
      <c r="F171" s="72" t="s">
        <v>248</v>
      </c>
      <c r="G171" s="72" t="s">
        <v>207</v>
      </c>
      <c r="J171" s="331"/>
      <c r="K171" s="331"/>
      <c r="L171" s="333">
        <f>'Inputs by customer type'!L136</f>
        <v>116.82590062629582</v>
      </c>
      <c r="M171" s="331"/>
      <c r="N171" s="333">
        <f>'Inputs by customer type'!N136</f>
        <v>953.32426420302363</v>
      </c>
      <c r="O171" s="333">
        <f>'Inputs by customer type'!O136</f>
        <v>15.354503586072338</v>
      </c>
      <c r="P171" s="333">
        <f>'Inputs by customer type'!P136</f>
        <v>7.7188965533317635</v>
      </c>
      <c r="Q171" s="331"/>
      <c r="R171" s="331"/>
      <c r="S171" s="331"/>
      <c r="T171" s="331"/>
      <c r="U171" s="331"/>
      <c r="V171" s="331"/>
      <c r="W171" s="331"/>
      <c r="X171" s="331"/>
      <c r="Y171" s="331"/>
      <c r="AQ171" s="3"/>
    </row>
    <row r="172" spans="5:43" x14ac:dyDescent="0.35">
      <c r="E172" s="32"/>
      <c r="F172" s="72" t="s">
        <v>249</v>
      </c>
      <c r="G172" s="72" t="s">
        <v>207</v>
      </c>
      <c r="J172" s="331"/>
      <c r="K172" s="331"/>
      <c r="L172" s="333">
        <f>'Inputs by customer type'!L137</f>
        <v>65.01140118651287</v>
      </c>
      <c r="M172" s="331"/>
      <c r="N172" s="333">
        <f>'Inputs by customer type'!N137</f>
        <v>792.42967940007884</v>
      </c>
      <c r="O172" s="333">
        <f>'Inputs by customer type'!O137</f>
        <v>16.86049870936359</v>
      </c>
      <c r="P172" s="333">
        <f>'Inputs by customer type'!P137</f>
        <v>5.9070770615000185</v>
      </c>
      <c r="Q172" s="331"/>
      <c r="R172" s="331"/>
      <c r="S172" s="331"/>
      <c r="T172" s="331"/>
      <c r="U172" s="331"/>
      <c r="V172" s="331"/>
      <c r="W172" s="331"/>
      <c r="X172" s="331"/>
      <c r="Y172" s="331"/>
      <c r="AQ172" s="3"/>
    </row>
    <row r="173" spans="5:43" x14ac:dyDescent="0.35">
      <c r="E173" s="32"/>
      <c r="F173" s="72" t="s">
        <v>212</v>
      </c>
      <c r="G173" s="72" t="s">
        <v>212</v>
      </c>
      <c r="J173" s="331"/>
      <c r="K173" s="331"/>
      <c r="L173" s="333">
        <f>'Inputs by customer type'!L138</f>
        <v>24.874260080786939</v>
      </c>
      <c r="M173" s="331"/>
      <c r="N173" s="333">
        <f>'Inputs by customer type'!N138</f>
        <v>3.3804884841149057</v>
      </c>
      <c r="O173" s="333">
        <f>'Inputs by customer type'!O138</f>
        <v>0.21818181818181817</v>
      </c>
      <c r="P173" s="333">
        <f>'Inputs by customer type'!P138</f>
        <v>0.22008862629246675</v>
      </c>
      <c r="Q173" s="331"/>
      <c r="R173" s="331"/>
      <c r="S173" s="331"/>
      <c r="T173" s="331"/>
      <c r="U173" s="331"/>
      <c r="V173" s="331"/>
      <c r="W173" s="331"/>
      <c r="X173" s="331"/>
      <c r="Y173" s="331"/>
      <c r="AQ173" s="3"/>
    </row>
    <row r="174" spans="5:43" x14ac:dyDescent="0.35">
      <c r="E174" s="32"/>
      <c r="F174" s="72" t="s">
        <v>250</v>
      </c>
      <c r="G174" s="72" t="s">
        <v>251</v>
      </c>
      <c r="J174" s="331"/>
      <c r="K174" s="331"/>
      <c r="L174" s="333">
        <f>'Inputs by customer type'!L139</f>
        <v>0</v>
      </c>
      <c r="M174" s="331"/>
      <c r="N174" s="333">
        <f>'Inputs by customer type'!N139</f>
        <v>687.14042909116665</v>
      </c>
      <c r="O174" s="333">
        <f>'Inputs by customer type'!O139</f>
        <v>33.366389880891674</v>
      </c>
      <c r="P174" s="333">
        <f>'Inputs by customer type'!P139</f>
        <v>4578.1344679188715</v>
      </c>
      <c r="Q174" s="331"/>
      <c r="R174" s="331"/>
      <c r="S174" s="331"/>
      <c r="T174" s="331"/>
      <c r="U174" s="331"/>
      <c r="V174" s="331"/>
      <c r="W174" s="331"/>
      <c r="X174" s="331"/>
      <c r="Y174" s="331"/>
      <c r="AQ174" s="3"/>
    </row>
    <row r="175" spans="5:43" x14ac:dyDescent="0.35">
      <c r="E175" s="32"/>
      <c r="F175" s="72" t="s">
        <v>252</v>
      </c>
      <c r="G175" s="72" t="s">
        <v>251</v>
      </c>
      <c r="J175" s="331"/>
      <c r="K175" s="331"/>
      <c r="L175" s="333">
        <f>'Inputs by customer type'!L140</f>
        <v>0</v>
      </c>
      <c r="M175" s="331"/>
      <c r="N175" s="333">
        <f>'Inputs by customer type'!N140</f>
        <v>5.6873925658411082</v>
      </c>
      <c r="O175" s="333">
        <f>'Inputs by customer type'!O140</f>
        <v>0</v>
      </c>
      <c r="P175" s="333">
        <f>'Inputs by customer type'!P140</f>
        <v>0</v>
      </c>
      <c r="Q175" s="331"/>
      <c r="R175" s="331"/>
      <c r="S175" s="331"/>
      <c r="T175" s="331"/>
      <c r="U175" s="331"/>
      <c r="V175" s="331"/>
      <c r="W175" s="331"/>
      <c r="X175" s="331"/>
      <c r="Y175" s="331"/>
      <c r="AQ175" s="3"/>
    </row>
    <row r="176" spans="5:43" x14ac:dyDescent="0.35">
      <c r="E176" s="32"/>
      <c r="F176" s="80" t="s">
        <v>253</v>
      </c>
      <c r="G176" s="80" t="s">
        <v>254</v>
      </c>
      <c r="H176" s="37"/>
      <c r="I176" s="37"/>
      <c r="J176" s="81"/>
      <c r="K176" s="81"/>
      <c r="L176" s="125">
        <f>'Inputs by customer type'!L141</f>
        <v>0</v>
      </c>
      <c r="M176" s="81"/>
      <c r="N176" s="125">
        <f>'Inputs by customer type'!N141</f>
        <v>111.12794861375262</v>
      </c>
      <c r="O176" s="125">
        <f>'Inputs by customer type'!O141</f>
        <v>1.3331596111726428E-2</v>
      </c>
      <c r="P176" s="125">
        <f>'Inputs by customer type'!P141</f>
        <v>0</v>
      </c>
      <c r="Q176" s="81"/>
      <c r="R176" s="81"/>
      <c r="S176" s="81"/>
      <c r="T176" s="81"/>
      <c r="U176" s="81"/>
      <c r="V176" s="81"/>
      <c r="W176" s="81"/>
      <c r="X176" s="81"/>
      <c r="Y176" s="81"/>
      <c r="AQ176" s="3"/>
    </row>
    <row r="177" spans="5:43" x14ac:dyDescent="0.35">
      <c r="AQ177" s="3"/>
    </row>
    <row r="178" spans="5:43" x14ac:dyDescent="0.35">
      <c r="E178" s="32" t="s">
        <v>959</v>
      </c>
      <c r="G178" s="13"/>
      <c r="I178" t="s">
        <v>154</v>
      </c>
      <c r="AQ178" s="3"/>
    </row>
    <row r="179" spans="5:43" x14ac:dyDescent="0.35">
      <c r="E179" s="32"/>
      <c r="F179" s="78" t="s">
        <v>247</v>
      </c>
      <c r="G179" s="78" t="s">
        <v>207</v>
      </c>
      <c r="H179" s="23"/>
      <c r="I179" s="23"/>
      <c r="J179" s="83"/>
      <c r="K179" s="83"/>
      <c r="L179" s="124">
        <f>'Inputs by customer type'!L144</f>
        <v>30.446445340874984</v>
      </c>
      <c r="M179" s="83"/>
      <c r="N179" s="124">
        <f>'Inputs by customer type'!N144</f>
        <v>95.211634685478558</v>
      </c>
      <c r="O179" s="124">
        <f>'Inputs by customer type'!O144</f>
        <v>10.256381349878021</v>
      </c>
      <c r="P179" s="124">
        <f>'Inputs by customer type'!P144</f>
        <v>1.5389823276936789</v>
      </c>
      <c r="Q179" s="83"/>
      <c r="R179" s="83"/>
      <c r="S179" s="83"/>
      <c r="T179" s="83"/>
      <c r="U179" s="83"/>
      <c r="V179" s="83"/>
      <c r="W179" s="83"/>
      <c r="X179" s="83"/>
      <c r="Y179" s="83"/>
      <c r="AQ179" s="3"/>
    </row>
    <row r="180" spans="5:43" x14ac:dyDescent="0.35">
      <c r="E180" s="32"/>
      <c r="F180" s="72" t="s">
        <v>248</v>
      </c>
      <c r="G180" s="72" t="s">
        <v>207</v>
      </c>
      <c r="J180" s="331"/>
      <c r="K180" s="331"/>
      <c r="L180" s="333">
        <f>'Inputs by customer type'!L145</f>
        <v>162.77646105191212</v>
      </c>
      <c r="M180" s="331"/>
      <c r="N180" s="333">
        <f>'Inputs by customer type'!N145</f>
        <v>720.81867633643537</v>
      </c>
      <c r="O180" s="333">
        <f>'Inputs by customer type'!O145</f>
        <v>45.489753931304968</v>
      </c>
      <c r="P180" s="333">
        <f>'Inputs by customer type'!P145</f>
        <v>6.4628000683017772</v>
      </c>
      <c r="Q180" s="331"/>
      <c r="R180" s="331"/>
      <c r="S180" s="331"/>
      <c r="T180" s="331"/>
      <c r="U180" s="331"/>
      <c r="V180" s="331"/>
      <c r="W180" s="331"/>
      <c r="X180" s="331"/>
      <c r="Y180" s="331"/>
      <c r="AQ180" s="3"/>
    </row>
    <row r="181" spans="5:43" x14ac:dyDescent="0.35">
      <c r="E181" s="32"/>
      <c r="F181" s="72" t="s">
        <v>249</v>
      </c>
      <c r="G181" s="72" t="s">
        <v>207</v>
      </c>
      <c r="J181" s="331"/>
      <c r="K181" s="331"/>
      <c r="L181" s="333">
        <f>'Inputs by customer type'!L146</f>
        <v>90.582017826830409</v>
      </c>
      <c r="M181" s="331"/>
      <c r="N181" s="333">
        <f>'Inputs by customer type'!N146</f>
        <v>599.16455926189042</v>
      </c>
      <c r="O181" s="333">
        <f>'Inputs by customer type'!O146</f>
        <v>49.951464282032653</v>
      </c>
      <c r="P181" s="333">
        <f>'Inputs by customer type'!P146</f>
        <v>4.9458180677454324</v>
      </c>
      <c r="Q181" s="331"/>
      <c r="R181" s="331"/>
      <c r="S181" s="331"/>
      <c r="T181" s="331"/>
      <c r="U181" s="331"/>
      <c r="V181" s="331"/>
      <c r="W181" s="331"/>
      <c r="X181" s="331"/>
      <c r="Y181" s="331"/>
      <c r="AQ181" s="3"/>
    </row>
    <row r="182" spans="5:43" x14ac:dyDescent="0.35">
      <c r="E182" s="32"/>
      <c r="F182" s="72" t="s">
        <v>212</v>
      </c>
      <c r="G182" s="72" t="s">
        <v>212</v>
      </c>
      <c r="J182" s="331"/>
      <c r="K182" s="331"/>
      <c r="L182" s="333">
        <f>'Inputs by customer type'!L147</f>
        <v>14.044950378560182</v>
      </c>
      <c r="M182" s="331"/>
      <c r="N182" s="333">
        <f>'Inputs by customer type'!N147</f>
        <v>1.5549025899240143</v>
      </c>
      <c r="O182" s="333">
        <f>'Inputs by customer type'!O147</f>
        <v>0.43636363636363634</v>
      </c>
      <c r="P182" s="333">
        <f>'Inputs by customer type'!P147</f>
        <v>8.5672082717872966E-2</v>
      </c>
      <c r="Q182" s="331"/>
      <c r="R182" s="331"/>
      <c r="S182" s="331"/>
      <c r="T182" s="331"/>
      <c r="U182" s="331"/>
      <c r="V182" s="331"/>
      <c r="W182" s="331"/>
      <c r="X182" s="331"/>
      <c r="Y182" s="331"/>
      <c r="AQ182" s="3"/>
    </row>
    <row r="183" spans="5:43" x14ac:dyDescent="0.35">
      <c r="E183" s="32"/>
      <c r="F183" s="72" t="s">
        <v>250</v>
      </c>
      <c r="G183" s="72" t="s">
        <v>251</v>
      </c>
      <c r="J183" s="331"/>
      <c r="K183" s="331"/>
      <c r="L183" s="333">
        <f>'Inputs by customer type'!L148</f>
        <v>0</v>
      </c>
      <c r="M183" s="331"/>
      <c r="N183" s="333">
        <f>'Inputs by customer type'!N148</f>
        <v>519.55423055220081</v>
      </c>
      <c r="O183" s="333">
        <f>'Inputs by customer type'!O148</f>
        <v>98.852356688009664</v>
      </c>
      <c r="P183" s="333">
        <f>'Inputs by customer type'!P148</f>
        <v>3833.1343797047916</v>
      </c>
      <c r="Q183" s="331"/>
      <c r="R183" s="331"/>
      <c r="S183" s="331"/>
      <c r="T183" s="331"/>
      <c r="U183" s="331"/>
      <c r="V183" s="331"/>
      <c r="W183" s="331"/>
      <c r="X183" s="331"/>
      <c r="Y183" s="331"/>
      <c r="AQ183" s="3"/>
    </row>
    <row r="184" spans="5:43" x14ac:dyDescent="0.35">
      <c r="E184" s="32"/>
      <c r="F184" s="72" t="s">
        <v>252</v>
      </c>
      <c r="G184" s="72" t="s">
        <v>251</v>
      </c>
      <c r="J184" s="331"/>
      <c r="K184" s="331"/>
      <c r="L184" s="333">
        <f>'Inputs by customer type'!L149</f>
        <v>0</v>
      </c>
      <c r="M184" s="331"/>
      <c r="N184" s="333">
        <f>'Inputs by customer type'!N149</f>
        <v>4.3002983717638887</v>
      </c>
      <c r="O184" s="333">
        <f>'Inputs by customer type'!O149</f>
        <v>0</v>
      </c>
      <c r="P184" s="333">
        <f>'Inputs by customer type'!P149</f>
        <v>0</v>
      </c>
      <c r="Q184" s="331"/>
      <c r="R184" s="331"/>
      <c r="S184" s="331"/>
      <c r="T184" s="331"/>
      <c r="U184" s="331"/>
      <c r="V184" s="331"/>
      <c r="W184" s="331"/>
      <c r="X184" s="331"/>
      <c r="Y184" s="331"/>
      <c r="AQ184" s="3"/>
    </row>
    <row r="185" spans="5:43" x14ac:dyDescent="0.35">
      <c r="E185" s="32"/>
      <c r="F185" s="80" t="s">
        <v>253</v>
      </c>
      <c r="G185" s="80" t="s">
        <v>254</v>
      </c>
      <c r="H185" s="37"/>
      <c r="I185" s="37"/>
      <c r="J185" s="81"/>
      <c r="K185" s="81"/>
      <c r="L185" s="125">
        <f>'Inputs by customer type'!L150</f>
        <v>0</v>
      </c>
      <c r="M185" s="81"/>
      <c r="N185" s="125">
        <f>'Inputs by customer type'!N150</f>
        <v>84.025030969619266</v>
      </c>
      <c r="O185" s="125">
        <f>'Inputs by customer type'!O150</f>
        <v>3.9496622162638516E-2</v>
      </c>
      <c r="P185" s="125">
        <f>'Inputs by customer type'!P150</f>
        <v>0</v>
      </c>
      <c r="Q185" s="81"/>
      <c r="R185" s="81"/>
      <c r="S185" s="81"/>
      <c r="T185" s="81"/>
      <c r="U185" s="81"/>
      <c r="V185" s="81"/>
      <c r="W185" s="81"/>
      <c r="X185" s="81"/>
      <c r="Y185" s="81"/>
      <c r="AQ185" s="3"/>
    </row>
    <row r="186" spans="5:43" x14ac:dyDescent="0.35">
      <c r="AQ186" s="3"/>
    </row>
    <row r="187" spans="5:43" x14ac:dyDescent="0.35">
      <c r="E187" s="32" t="s">
        <v>960</v>
      </c>
      <c r="G187" s="13"/>
      <c r="I187" t="s">
        <v>154</v>
      </c>
      <c r="AQ187" s="3"/>
    </row>
    <row r="188" spans="5:43" x14ac:dyDescent="0.35">
      <c r="E188" s="32"/>
      <c r="F188" s="78" t="s">
        <v>247</v>
      </c>
      <c r="G188" s="78" t="s">
        <v>207</v>
      </c>
      <c r="H188" s="23"/>
      <c r="I188" s="23"/>
      <c r="J188" s="83"/>
      <c r="K188" s="83"/>
      <c r="L188" s="124">
        <f>'Inputs by customer type'!L153</f>
        <v>80.576673964797763</v>
      </c>
      <c r="M188" s="83"/>
      <c r="N188" s="124">
        <f>'Inputs by customer type'!N153</f>
        <v>259.15942066355075</v>
      </c>
      <c r="O188" s="124">
        <f>'Inputs by customer type'!O153</f>
        <v>80.103539739162784</v>
      </c>
      <c r="P188" s="124">
        <f>'Inputs by customer type'!P153</f>
        <v>3.0883957529074912</v>
      </c>
      <c r="Q188" s="83"/>
      <c r="R188" s="83"/>
      <c r="S188" s="83"/>
      <c r="T188" s="83"/>
      <c r="U188" s="83"/>
      <c r="V188" s="83"/>
      <c r="W188" s="83"/>
      <c r="X188" s="83"/>
      <c r="Y188" s="83"/>
      <c r="AQ188" s="3"/>
    </row>
    <row r="189" spans="5:43" x14ac:dyDescent="0.35">
      <c r="E189" s="32"/>
      <c r="F189" s="72" t="s">
        <v>248</v>
      </c>
      <c r="G189" s="72" t="s">
        <v>207</v>
      </c>
      <c r="J189" s="331"/>
      <c r="K189" s="331"/>
      <c r="L189" s="333">
        <f>'Inputs by customer type'!L154</f>
        <v>430.78874017897385</v>
      </c>
      <c r="M189" s="331"/>
      <c r="N189" s="333">
        <f>'Inputs by customer type'!N154</f>
        <v>1962.0180997828136</v>
      </c>
      <c r="O189" s="333">
        <f>'Inputs by customer type'!O154</f>
        <v>355.28030671405958</v>
      </c>
      <c r="P189" s="333">
        <f>'Inputs by customer type'!P154</f>
        <v>12.969404471814217</v>
      </c>
      <c r="Q189" s="331"/>
      <c r="R189" s="331"/>
      <c r="S189" s="331"/>
      <c r="T189" s="331"/>
      <c r="U189" s="331"/>
      <c r="V189" s="331"/>
      <c r="W189" s="331"/>
      <c r="X189" s="331"/>
      <c r="Y189" s="331"/>
      <c r="AQ189" s="3"/>
    </row>
    <row r="190" spans="5:43" x14ac:dyDescent="0.35">
      <c r="E190" s="32"/>
      <c r="F190" s="72" t="s">
        <v>249</v>
      </c>
      <c r="G190" s="72" t="s">
        <v>207</v>
      </c>
      <c r="J190" s="331"/>
      <c r="K190" s="331"/>
      <c r="L190" s="333">
        <f>'Inputs by customer type'!L155</f>
        <v>239.7257753997057</v>
      </c>
      <c r="M190" s="331"/>
      <c r="N190" s="333">
        <f>'Inputs by customer type'!N155</f>
        <v>1630.8840886241608</v>
      </c>
      <c r="O190" s="333">
        <f>'Inputs by customer type'!O155</f>
        <v>390.12678718237794</v>
      </c>
      <c r="P190" s="333">
        <f>'Inputs by customer type'!P155</f>
        <v>9.9251584896161411</v>
      </c>
      <c r="Q190" s="331"/>
      <c r="R190" s="331"/>
      <c r="S190" s="331"/>
      <c r="T190" s="331"/>
      <c r="U190" s="331"/>
      <c r="V190" s="331"/>
      <c r="W190" s="331"/>
      <c r="X190" s="331"/>
      <c r="Y190" s="331"/>
      <c r="AQ190" s="3"/>
    </row>
    <row r="191" spans="5:43" x14ac:dyDescent="0.35">
      <c r="E191" s="32"/>
      <c r="F191" s="72" t="s">
        <v>212</v>
      </c>
      <c r="G191" s="72" t="s">
        <v>212</v>
      </c>
      <c r="J191" s="331"/>
      <c r="K191" s="331"/>
      <c r="L191" s="333">
        <f>'Inputs by customer type'!L156</f>
        <v>11.359997559826274</v>
      </c>
      <c r="M191" s="331"/>
      <c r="N191" s="333">
        <f>'Inputs by customer type'!N156</f>
        <v>1.9090296195663947</v>
      </c>
      <c r="O191" s="333">
        <f>'Inputs by customer type'!O156</f>
        <v>1.1818181818181819</v>
      </c>
      <c r="P191" s="333">
        <f>'Inputs by customer type'!P156</f>
        <v>7.8286558345642535E-2</v>
      </c>
      <c r="Q191" s="331"/>
      <c r="R191" s="331"/>
      <c r="S191" s="331"/>
      <c r="T191" s="331"/>
      <c r="U191" s="331"/>
      <c r="V191" s="331"/>
      <c r="W191" s="331"/>
      <c r="X191" s="331"/>
      <c r="Y191" s="331"/>
      <c r="AQ191" s="3"/>
    </row>
    <row r="192" spans="5:43" x14ac:dyDescent="0.35">
      <c r="E192" s="32"/>
      <c r="F192" s="72" t="s">
        <v>250</v>
      </c>
      <c r="G192" s="72" t="s">
        <v>251</v>
      </c>
      <c r="J192" s="331"/>
      <c r="K192" s="331"/>
      <c r="L192" s="333">
        <f>'Inputs by customer type'!L157</f>
        <v>0</v>
      </c>
      <c r="M192" s="331"/>
      <c r="N192" s="333">
        <f>'Inputs by customer type'!N157</f>
        <v>1414.1903333347695</v>
      </c>
      <c r="O192" s="333">
        <f>'Inputs by customer type'!O157</f>
        <v>772.04848495244858</v>
      </c>
      <c r="P192" s="333">
        <f>'Inputs by customer type'!P157</f>
        <v>7692.249433653189</v>
      </c>
      <c r="Q192" s="331"/>
      <c r="R192" s="331"/>
      <c r="S192" s="331"/>
      <c r="T192" s="331"/>
      <c r="U192" s="331"/>
      <c r="V192" s="331"/>
      <c r="W192" s="331"/>
      <c r="X192" s="331"/>
      <c r="Y192" s="331"/>
      <c r="AQ192" s="3"/>
    </row>
    <row r="193" spans="4:43" x14ac:dyDescent="0.35">
      <c r="E193" s="32"/>
      <c r="F193" s="72" t="s">
        <v>252</v>
      </c>
      <c r="G193" s="72" t="s">
        <v>251</v>
      </c>
      <c r="J193" s="331"/>
      <c r="K193" s="331"/>
      <c r="L193" s="333">
        <f>'Inputs by customer type'!L158</f>
        <v>0</v>
      </c>
      <c r="M193" s="331"/>
      <c r="N193" s="333">
        <f>'Inputs by customer type'!N158</f>
        <v>11.705111863568446</v>
      </c>
      <c r="O193" s="333">
        <f>'Inputs by customer type'!O158</f>
        <v>0</v>
      </c>
      <c r="P193" s="333">
        <f>'Inputs by customer type'!P158</f>
        <v>0</v>
      </c>
      <c r="Q193" s="331"/>
      <c r="R193" s="331"/>
      <c r="S193" s="331"/>
      <c r="T193" s="331"/>
      <c r="U193" s="331"/>
      <c r="V193" s="331"/>
      <c r="W193" s="331"/>
      <c r="X193" s="331"/>
      <c r="Y193" s="331"/>
      <c r="AQ193" s="3"/>
    </row>
    <row r="194" spans="4:43" x14ac:dyDescent="0.35">
      <c r="E194" s="32"/>
      <c r="F194" s="80" t="s">
        <v>253</v>
      </c>
      <c r="G194" s="80" t="s">
        <v>254</v>
      </c>
      <c r="H194" s="37"/>
      <c r="I194" s="37"/>
      <c r="J194" s="81"/>
      <c r="K194" s="81"/>
      <c r="L194" s="125">
        <f>'Inputs by customer type'!L159</f>
        <v>0</v>
      </c>
      <c r="M194" s="81"/>
      <c r="N194" s="125">
        <f>'Inputs by customer type'!N159</f>
        <v>228.7102665473366</v>
      </c>
      <c r="O194" s="125">
        <f>'Inputs by customer type'!O159</f>
        <v>0.3084732455862943</v>
      </c>
      <c r="P194" s="125">
        <f>'Inputs by customer type'!P159</f>
        <v>0</v>
      </c>
      <c r="Q194" s="81"/>
      <c r="R194" s="81"/>
      <c r="S194" s="81"/>
      <c r="T194" s="81"/>
      <c r="U194" s="81"/>
      <c r="V194" s="81"/>
      <c r="W194" s="81"/>
      <c r="X194" s="81"/>
      <c r="Y194" s="81"/>
      <c r="AQ194" s="3"/>
    </row>
    <row r="195" spans="4:43" x14ac:dyDescent="0.35">
      <c r="AQ195" s="3"/>
    </row>
    <row r="196" spans="4:43" x14ac:dyDescent="0.35">
      <c r="D196" s="29" t="s">
        <v>967</v>
      </c>
      <c r="AQ196" s="3"/>
    </row>
    <row r="197" spans="4:43" x14ac:dyDescent="0.35">
      <c r="AQ197" s="3"/>
    </row>
    <row r="198" spans="4:43" x14ac:dyDescent="0.35">
      <c r="E198" s="32" t="s">
        <v>245</v>
      </c>
      <c r="G198" s="13"/>
      <c r="I198" t="s">
        <v>154</v>
      </c>
      <c r="AA198" t="s">
        <v>246</v>
      </c>
    </row>
    <row r="199" spans="4:43" x14ac:dyDescent="0.35">
      <c r="E199" s="32"/>
      <c r="F199" s="78" t="s">
        <v>247</v>
      </c>
      <c r="G199" s="78" t="s">
        <v>207</v>
      </c>
      <c r="H199" s="23"/>
      <c r="I199" s="23"/>
      <c r="J199" s="126">
        <f t="shared" ref="J199:Y199" si="2">SUM( J67, J76, J85, J94, J58 )</f>
        <v>322302.2649968901</v>
      </c>
      <c r="K199" s="126">
        <f t="shared" si="2"/>
        <v>9396.1650095049135</v>
      </c>
      <c r="L199" s="126">
        <f t="shared" si="2"/>
        <v>103863.01731242402</v>
      </c>
      <c r="M199" s="126">
        <f t="shared" si="2"/>
        <v>454.90419700623829</v>
      </c>
      <c r="N199" s="126">
        <f t="shared" si="2"/>
        <v>141299.24013613618</v>
      </c>
      <c r="O199" s="126">
        <f t="shared" si="2"/>
        <v>11232.118494725622</v>
      </c>
      <c r="P199" s="126">
        <f t="shared" si="2"/>
        <v>74080.415998335695</v>
      </c>
      <c r="Q199" s="126">
        <f t="shared" si="2"/>
        <v>6021.5121963867368</v>
      </c>
      <c r="R199" s="126">
        <f t="shared" si="2"/>
        <v>650.78467700282442</v>
      </c>
      <c r="S199" s="126">
        <f t="shared" si="2"/>
        <v>0.19900000000000004</v>
      </c>
      <c r="T199" s="126">
        <f t="shared" si="2"/>
        <v>37028.598245563808</v>
      </c>
      <c r="U199" s="126">
        <f t="shared" si="2"/>
        <v>0</v>
      </c>
      <c r="V199" s="126">
        <f t="shared" si="2"/>
        <v>324.10167419354838</v>
      </c>
      <c r="W199" s="126">
        <f t="shared" si="2"/>
        <v>0</v>
      </c>
      <c r="X199" s="126">
        <f t="shared" si="2"/>
        <v>166464.50181248464</v>
      </c>
      <c r="Y199" s="126">
        <f t="shared" si="2"/>
        <v>0</v>
      </c>
    </row>
    <row r="200" spans="4:43" x14ac:dyDescent="0.35">
      <c r="E200" s="32"/>
      <c r="F200" s="72" t="s">
        <v>248</v>
      </c>
      <c r="G200" s="72" t="s">
        <v>207</v>
      </c>
      <c r="J200" s="330">
        <f t="shared" ref="J200:Y200" si="3">SUM( J68, J77, J86, J95, J59 )</f>
        <v>1235375.6941167442</v>
      </c>
      <c r="K200" s="330">
        <f t="shared" si="3"/>
        <v>146290.47824065451</v>
      </c>
      <c r="L200" s="330">
        <f t="shared" si="3"/>
        <v>540625.51124608284</v>
      </c>
      <c r="M200" s="330">
        <f t="shared" si="3"/>
        <v>8911.3295663483332</v>
      </c>
      <c r="N200" s="330">
        <f t="shared" si="3"/>
        <v>707101.33919069078</v>
      </c>
      <c r="O200" s="330">
        <f t="shared" si="3"/>
        <v>53028.209005448516</v>
      </c>
      <c r="P200" s="330">
        <f t="shared" si="3"/>
        <v>365787.27642019925</v>
      </c>
      <c r="Q200" s="425">
        <f t="shared" si="3"/>
        <v>29213.624042833315</v>
      </c>
      <c r="R200" s="425">
        <f t="shared" si="3"/>
        <v>3502.3381089269142</v>
      </c>
      <c r="S200" s="425">
        <f t="shared" si="3"/>
        <v>1.391</v>
      </c>
      <c r="T200" s="330">
        <f t="shared" si="3"/>
        <v>177224.06606561315</v>
      </c>
      <c r="U200" s="330">
        <f t="shared" si="3"/>
        <v>0</v>
      </c>
      <c r="V200" s="330">
        <f t="shared" si="3"/>
        <v>1487.9755864997869</v>
      </c>
      <c r="W200" s="330">
        <f t="shared" si="3"/>
        <v>0</v>
      </c>
      <c r="X200" s="330">
        <f t="shared" si="3"/>
        <v>712457.12239743408</v>
      </c>
      <c r="Y200" s="330">
        <f t="shared" si="3"/>
        <v>0</v>
      </c>
    </row>
    <row r="201" spans="4:43" x14ac:dyDescent="0.35">
      <c r="E201" s="32"/>
      <c r="F201" s="72" t="s">
        <v>249</v>
      </c>
      <c r="G201" s="72" t="s">
        <v>207</v>
      </c>
      <c r="J201" s="330">
        <f t="shared" ref="J201:Y201" si="4">SUM( J69, J78, J87, J96, J60 )</f>
        <v>1012593.7290870433</v>
      </c>
      <c r="K201" s="330">
        <f t="shared" si="4"/>
        <v>211336.36964169086</v>
      </c>
      <c r="L201" s="330">
        <f t="shared" si="4"/>
        <v>362386.78176860919</v>
      </c>
      <c r="M201" s="330">
        <f t="shared" si="4"/>
        <v>14290.612390057293</v>
      </c>
      <c r="N201" s="330">
        <f t="shared" si="4"/>
        <v>564755.1630634889</v>
      </c>
      <c r="O201" s="330">
        <f t="shared" si="4"/>
        <v>51739.814306476903</v>
      </c>
      <c r="P201" s="330">
        <f t="shared" si="4"/>
        <v>339448.92234557553</v>
      </c>
      <c r="Q201" s="425">
        <f t="shared" si="4"/>
        <v>60911.812464155897</v>
      </c>
      <c r="R201" s="425">
        <f t="shared" si="4"/>
        <v>2112.3642325825435</v>
      </c>
      <c r="S201" s="425">
        <f t="shared" si="4"/>
        <v>0.64400000000000013</v>
      </c>
      <c r="T201" s="330">
        <f t="shared" si="4"/>
        <v>193113.18812858776</v>
      </c>
      <c r="U201" s="330">
        <f t="shared" si="4"/>
        <v>0</v>
      </c>
      <c r="V201" s="330">
        <f t="shared" si="4"/>
        <v>1570.8366193548386</v>
      </c>
      <c r="W201" s="330">
        <f t="shared" si="4"/>
        <v>0</v>
      </c>
      <c r="X201" s="330">
        <f t="shared" si="4"/>
        <v>746890.70756556396</v>
      </c>
      <c r="Y201" s="330">
        <f t="shared" si="4"/>
        <v>0</v>
      </c>
    </row>
    <row r="202" spans="4:43" x14ac:dyDescent="0.35">
      <c r="E202" s="32"/>
      <c r="F202" s="72" t="s">
        <v>212</v>
      </c>
      <c r="G202" s="72" t="s">
        <v>212</v>
      </c>
      <c r="J202" s="330">
        <f t="shared" ref="J202:Y202" si="5">SUM( J70, J79, J88, J97, J61 )</f>
        <v>706592.44030903245</v>
      </c>
      <c r="K202" s="330">
        <f t="shared" si="5"/>
        <v>72371.122331145176</v>
      </c>
      <c r="L202" s="330">
        <f t="shared" si="5"/>
        <v>74730.220086894915</v>
      </c>
      <c r="M202" s="330">
        <f t="shared" si="5"/>
        <v>2436.905804440873</v>
      </c>
      <c r="N202" s="330">
        <f t="shared" si="5"/>
        <v>6768.4494706472788</v>
      </c>
      <c r="O202" s="330">
        <f t="shared" si="5"/>
        <v>120.2167744036007</v>
      </c>
      <c r="P202" s="330">
        <f t="shared" si="5"/>
        <v>697.25806451612891</v>
      </c>
      <c r="Q202" s="330">
        <f t="shared" si="5"/>
        <v>1886.5806451612905</v>
      </c>
      <c r="R202" s="330">
        <f t="shared" si="5"/>
        <v>376.80645161290334</v>
      </c>
      <c r="S202" s="330">
        <f t="shared" si="5"/>
        <v>1</v>
      </c>
      <c r="T202" s="330">
        <f t="shared" si="5"/>
        <v>812.9295222209638</v>
      </c>
      <c r="U202" s="330">
        <f t="shared" si="5"/>
        <v>0</v>
      </c>
      <c r="V202" s="330">
        <f t="shared" si="5"/>
        <v>2</v>
      </c>
      <c r="W202" s="330">
        <f t="shared" si="5"/>
        <v>0</v>
      </c>
      <c r="X202" s="330">
        <f t="shared" si="5"/>
        <v>348.45161290322585</v>
      </c>
      <c r="Y202" s="330">
        <f t="shared" si="5"/>
        <v>0</v>
      </c>
    </row>
    <row r="203" spans="4:43" x14ac:dyDescent="0.35">
      <c r="E203" s="32"/>
      <c r="F203" s="72" t="s">
        <v>250</v>
      </c>
      <c r="G203" s="72" t="s">
        <v>251</v>
      </c>
      <c r="J203" s="79"/>
      <c r="K203" s="79"/>
      <c r="L203" s="79"/>
      <c r="M203" s="79"/>
      <c r="N203" s="330">
        <f t="shared" ref="N203:P205" si="6">SUM( N71, N80, N89, N98, N62 )</f>
        <v>880046.45783348207</v>
      </c>
      <c r="O203" s="330">
        <f t="shared" si="6"/>
        <v>43340.603645369527</v>
      </c>
      <c r="P203" s="330">
        <f t="shared" si="6"/>
        <v>392922.99999999983</v>
      </c>
      <c r="Q203" s="79"/>
      <c r="R203" s="79"/>
      <c r="S203" s="79"/>
      <c r="T203" s="79"/>
      <c r="U203" s="79"/>
      <c r="V203" s="79"/>
      <c r="W203" s="79"/>
      <c r="X203" s="79"/>
      <c r="Y203" s="79"/>
    </row>
    <row r="204" spans="4:43" x14ac:dyDescent="0.35">
      <c r="E204" s="32"/>
      <c r="F204" s="72" t="s">
        <v>252</v>
      </c>
      <c r="G204" s="72" t="s">
        <v>251</v>
      </c>
      <c r="J204" s="79"/>
      <c r="K204" s="79"/>
      <c r="L204" s="79"/>
      <c r="M204" s="79"/>
      <c r="N204" s="330">
        <f t="shared" si="6"/>
        <v>17882.697733889239</v>
      </c>
      <c r="O204" s="330">
        <f t="shared" si="6"/>
        <v>1310.6201857762587</v>
      </c>
      <c r="P204" s="330">
        <f t="shared" si="6"/>
        <v>10335.999999999998</v>
      </c>
      <c r="Q204" s="79"/>
      <c r="R204" s="79"/>
      <c r="S204" s="79"/>
      <c r="T204" s="79"/>
      <c r="U204" s="79"/>
      <c r="V204" s="79"/>
      <c r="W204" s="79"/>
      <c r="X204" s="79"/>
      <c r="Y204" s="79"/>
    </row>
    <row r="205" spans="4:43" x14ac:dyDescent="0.35">
      <c r="E205" s="32"/>
      <c r="F205" s="80" t="s">
        <v>253</v>
      </c>
      <c r="G205" s="80" t="s">
        <v>254</v>
      </c>
      <c r="H205" s="37"/>
      <c r="I205" s="37"/>
      <c r="J205" s="81"/>
      <c r="K205" s="81"/>
      <c r="L205" s="81"/>
      <c r="M205" s="81"/>
      <c r="N205" s="100">
        <f t="shared" si="6"/>
        <v>164236.41676297155</v>
      </c>
      <c r="O205" s="100">
        <f t="shared" si="6"/>
        <v>8849.9226779359269</v>
      </c>
      <c r="P205" s="100">
        <f t="shared" si="6"/>
        <v>135208.24981886637</v>
      </c>
      <c r="Q205" s="81"/>
      <c r="R205" s="81"/>
      <c r="S205" s="81"/>
      <c r="T205" s="100">
        <f>SUM( T73, T82, T91, T100, T64 )</f>
        <v>12161.310051003624</v>
      </c>
      <c r="U205" s="81"/>
      <c r="V205" s="100">
        <f>SUM( V73, V82, V91, V100, V64 )</f>
        <v>0</v>
      </c>
      <c r="W205" s="81"/>
      <c r="X205" s="100">
        <f>SUM( X73, X82, X91, X100, X64 )</f>
        <v>36125.02323166062</v>
      </c>
      <c r="Y205" s="81"/>
    </row>
    <row r="206" spans="4:43" s="260" customFormat="1" x14ac:dyDescent="0.35">
      <c r="E206" s="261"/>
      <c r="F206" s="235"/>
      <c r="G206" s="235"/>
      <c r="J206" s="262"/>
      <c r="K206" s="262"/>
      <c r="L206" s="262"/>
      <c r="M206" s="262"/>
      <c r="N206" s="263"/>
      <c r="O206" s="263"/>
      <c r="P206" s="263"/>
      <c r="Q206" s="262"/>
      <c r="R206" s="262"/>
      <c r="S206" s="262"/>
      <c r="T206" s="263"/>
      <c r="U206" s="262"/>
      <c r="V206" s="263"/>
      <c r="W206" s="262"/>
      <c r="X206" s="263"/>
      <c r="Y206" s="262"/>
    </row>
    <row r="207" spans="4:43" x14ac:dyDescent="0.35">
      <c r="E207" s="32" t="s">
        <v>255</v>
      </c>
      <c r="G207" s="80"/>
      <c r="H207" s="37"/>
      <c r="I207" t="s">
        <v>154</v>
      </c>
      <c r="J207" s="82"/>
      <c r="K207" s="82"/>
      <c r="L207" s="82"/>
      <c r="M207" s="82"/>
      <c r="N207" s="82"/>
      <c r="O207" s="82"/>
      <c r="P207" s="82"/>
      <c r="Q207" s="82"/>
      <c r="R207" s="82"/>
      <c r="S207" s="82"/>
      <c r="T207" s="82"/>
      <c r="U207" s="82"/>
      <c r="V207" s="82"/>
      <c r="W207" s="82"/>
      <c r="X207" s="82"/>
      <c r="Y207" s="82"/>
      <c r="AA207" t="s">
        <v>246</v>
      </c>
    </row>
    <row r="208" spans="4:43" x14ac:dyDescent="0.35">
      <c r="E208" s="32"/>
      <c r="F208" s="78" t="s">
        <v>247</v>
      </c>
      <c r="G208" s="72" t="s">
        <v>207</v>
      </c>
      <c r="I208" s="23"/>
      <c r="J208" s="126">
        <f t="shared" ref="J208:N211" si="7">SUM( J114, J123, J132, J141, J105 )</f>
        <v>1256.8602110655297</v>
      </c>
      <c r="K208" s="126">
        <f t="shared" si="7"/>
        <v>0</v>
      </c>
      <c r="L208" s="126">
        <f t="shared" si="7"/>
        <v>15.407148144847113</v>
      </c>
      <c r="M208" s="126">
        <f t="shared" si="7"/>
        <v>0</v>
      </c>
      <c r="N208" s="126">
        <f t="shared" si="7"/>
        <v>219.25640851452016</v>
      </c>
      <c r="O208" s="83"/>
      <c r="P208" s="83"/>
      <c r="Q208" s="126">
        <f t="shared" ref="Q208:R211" si="8">SUM( Q114, Q123, Q132, Q141, Q105 )</f>
        <v>4.4156000000000057</v>
      </c>
      <c r="R208" s="126">
        <f t="shared" si="8"/>
        <v>0</v>
      </c>
      <c r="S208" s="83"/>
      <c r="T208" s="126">
        <f>SUM( T114, T123, T132, T141, T105 )</f>
        <v>0</v>
      </c>
      <c r="U208" s="83"/>
      <c r="V208" s="83"/>
      <c r="W208" s="83"/>
      <c r="X208" s="83"/>
      <c r="Y208" s="83"/>
    </row>
    <row r="209" spans="5:27" x14ac:dyDescent="0.35">
      <c r="E209" s="32"/>
      <c r="F209" s="72" t="s">
        <v>248</v>
      </c>
      <c r="G209" s="72" t="s">
        <v>207</v>
      </c>
      <c r="J209" s="330">
        <f t="shared" si="7"/>
        <v>4351.0341653864743</v>
      </c>
      <c r="K209" s="330">
        <f t="shared" si="7"/>
        <v>0</v>
      </c>
      <c r="L209" s="330">
        <f t="shared" si="7"/>
        <v>90.152631219894985</v>
      </c>
      <c r="M209" s="330">
        <f t="shared" si="7"/>
        <v>0</v>
      </c>
      <c r="N209" s="330">
        <f t="shared" si="7"/>
        <v>1222.2073415444158</v>
      </c>
      <c r="O209" s="79"/>
      <c r="P209" s="79"/>
      <c r="Q209" s="425">
        <f t="shared" si="8"/>
        <v>146.81940000000003</v>
      </c>
      <c r="R209" s="425">
        <f t="shared" si="8"/>
        <v>0</v>
      </c>
      <c r="S209" s="79"/>
      <c r="T209" s="330">
        <f>SUM( T115, T124, T133, T142, T106 )</f>
        <v>0</v>
      </c>
      <c r="U209" s="79"/>
      <c r="V209" s="79"/>
      <c r="W209" s="79"/>
      <c r="X209" s="79"/>
      <c r="Y209" s="79"/>
    </row>
    <row r="210" spans="5:27" x14ac:dyDescent="0.35">
      <c r="E210" s="32"/>
      <c r="F210" s="72" t="s">
        <v>249</v>
      </c>
      <c r="G210" s="72" t="s">
        <v>207</v>
      </c>
      <c r="J210" s="330">
        <f t="shared" si="7"/>
        <v>3226.095715157287</v>
      </c>
      <c r="K210" s="330">
        <f t="shared" si="7"/>
        <v>0</v>
      </c>
      <c r="L210" s="330">
        <f t="shared" si="7"/>
        <v>45.903451245295528</v>
      </c>
      <c r="M210" s="330">
        <f t="shared" si="7"/>
        <v>0</v>
      </c>
      <c r="N210" s="330">
        <f t="shared" si="7"/>
        <v>603.68964372686037</v>
      </c>
      <c r="O210" s="79"/>
      <c r="P210" s="79"/>
      <c r="Q210" s="425">
        <f t="shared" si="8"/>
        <v>49.511599999999994</v>
      </c>
      <c r="R210" s="425">
        <f t="shared" si="8"/>
        <v>0</v>
      </c>
      <c r="S210" s="79"/>
      <c r="T210" s="330">
        <f>SUM( T116, T125, T134, T143, T107 )</f>
        <v>0</v>
      </c>
      <c r="U210" s="79"/>
      <c r="V210" s="79"/>
      <c r="W210" s="79"/>
      <c r="X210" s="79"/>
      <c r="Y210" s="79"/>
    </row>
    <row r="211" spans="5:27" x14ac:dyDescent="0.35">
      <c r="E211" s="32"/>
      <c r="F211" s="72" t="s">
        <v>212</v>
      </c>
      <c r="G211" s="72" t="s">
        <v>212</v>
      </c>
      <c r="J211" s="330">
        <f t="shared" si="7"/>
        <v>3073.516129032258</v>
      </c>
      <c r="K211" s="330">
        <f t="shared" si="7"/>
        <v>0</v>
      </c>
      <c r="L211" s="330">
        <f t="shared" si="7"/>
        <v>16.838709677419356</v>
      </c>
      <c r="M211" s="330">
        <f t="shared" si="7"/>
        <v>0</v>
      </c>
      <c r="N211" s="330">
        <f t="shared" si="7"/>
        <v>10</v>
      </c>
      <c r="O211" s="79"/>
      <c r="P211" s="79"/>
      <c r="Q211" s="330">
        <f t="shared" si="8"/>
        <v>2</v>
      </c>
      <c r="R211" s="330">
        <f t="shared" si="8"/>
        <v>0</v>
      </c>
      <c r="S211" s="79"/>
      <c r="T211" s="330">
        <f>SUM( T117, T126, T135, T144, T108 )</f>
        <v>0</v>
      </c>
      <c r="U211" s="79"/>
      <c r="V211" s="79"/>
      <c r="W211" s="79"/>
      <c r="X211" s="79"/>
      <c r="Y211" s="79"/>
    </row>
    <row r="212" spans="5:27" x14ac:dyDescent="0.35">
      <c r="E212" s="32"/>
      <c r="F212" s="72" t="s">
        <v>250</v>
      </c>
      <c r="G212" s="72" t="s">
        <v>251</v>
      </c>
      <c r="J212" s="79"/>
      <c r="K212" s="79"/>
      <c r="L212" s="79"/>
      <c r="M212" s="79"/>
      <c r="N212" s="330">
        <f>SUM( N118, N127, N136, N145, N109 )</f>
        <v>2199.9999999999995</v>
      </c>
      <c r="O212" s="79"/>
      <c r="P212" s="79"/>
      <c r="Q212" s="79"/>
      <c r="R212" s="79"/>
      <c r="S212" s="79"/>
      <c r="T212" s="79"/>
      <c r="U212" s="79"/>
      <c r="V212" s="79"/>
      <c r="W212" s="79"/>
      <c r="X212" s="79"/>
      <c r="Y212" s="79"/>
    </row>
    <row r="213" spans="5:27" x14ac:dyDescent="0.35">
      <c r="E213" s="32"/>
      <c r="F213" s="72" t="s">
        <v>252</v>
      </c>
      <c r="G213" s="72" t="s">
        <v>251</v>
      </c>
      <c r="J213" s="79"/>
      <c r="K213" s="79"/>
      <c r="L213" s="79"/>
      <c r="M213" s="79"/>
      <c r="N213" s="330">
        <f>SUM( N119, N128, N137, N146, N110 )</f>
        <v>0</v>
      </c>
      <c r="O213" s="79"/>
      <c r="P213" s="79"/>
      <c r="Q213" s="79"/>
      <c r="R213" s="79"/>
      <c r="S213" s="79"/>
      <c r="T213" s="79"/>
      <c r="U213" s="79"/>
      <c r="V213" s="79"/>
      <c r="W213" s="79"/>
      <c r="X213" s="79"/>
      <c r="Y213" s="79"/>
    </row>
    <row r="214" spans="5:27" x14ac:dyDescent="0.35">
      <c r="E214" s="32"/>
      <c r="F214" s="80" t="s">
        <v>253</v>
      </c>
      <c r="G214" s="80" t="s">
        <v>254</v>
      </c>
      <c r="H214" s="37"/>
      <c r="I214" s="37"/>
      <c r="J214" s="81"/>
      <c r="K214" s="81"/>
      <c r="L214" s="81"/>
      <c r="M214" s="81"/>
      <c r="N214" s="100">
        <f>SUM( N120, N129, N138, N147, N111 )</f>
        <v>102.01354546724068</v>
      </c>
      <c r="O214" s="81"/>
      <c r="P214" s="81"/>
      <c r="Q214" s="81"/>
      <c r="R214" s="81"/>
      <c r="S214" s="81"/>
      <c r="T214" s="100">
        <f>SUM( T120, T129, T138, T147, T111 )</f>
        <v>0</v>
      </c>
      <c r="U214" s="81"/>
      <c r="V214" s="81"/>
      <c r="W214" s="81"/>
      <c r="X214" s="81"/>
      <c r="Y214" s="81"/>
    </row>
    <row r="215" spans="5:27" s="260" customFormat="1" x14ac:dyDescent="0.35">
      <c r="E215" s="261"/>
      <c r="F215" s="235"/>
      <c r="G215" s="235"/>
      <c r="J215" s="262"/>
      <c r="K215" s="262"/>
      <c r="L215" s="262"/>
      <c r="M215" s="262"/>
      <c r="N215" s="263"/>
      <c r="O215" s="262"/>
      <c r="P215" s="262"/>
      <c r="Q215" s="262"/>
      <c r="R215" s="262"/>
      <c r="S215" s="262"/>
      <c r="T215" s="263"/>
      <c r="U215" s="262"/>
      <c r="V215" s="262"/>
      <c r="W215" s="262"/>
      <c r="X215" s="262"/>
      <c r="Y215" s="262"/>
    </row>
    <row r="216" spans="5:27" x14ac:dyDescent="0.35">
      <c r="E216" s="32" t="s">
        <v>256</v>
      </c>
      <c r="G216" s="80"/>
      <c r="H216" s="37"/>
      <c r="I216" t="s">
        <v>154</v>
      </c>
      <c r="J216" s="82"/>
      <c r="K216" s="82"/>
      <c r="L216" s="82"/>
      <c r="M216" s="82"/>
      <c r="N216" s="82"/>
      <c r="O216" s="82"/>
      <c r="P216" s="82"/>
      <c r="Q216" s="82"/>
      <c r="R216" s="82"/>
      <c r="S216" s="82"/>
      <c r="T216" s="82"/>
      <c r="U216" s="82"/>
      <c r="V216" s="82"/>
      <c r="W216" s="82"/>
      <c r="X216" s="82"/>
      <c r="Y216" s="82"/>
      <c r="AA216" t="s">
        <v>246</v>
      </c>
    </row>
    <row r="217" spans="5:27" x14ac:dyDescent="0.35">
      <c r="F217" s="78" t="s">
        <v>247</v>
      </c>
      <c r="G217" s="72" t="s">
        <v>207</v>
      </c>
      <c r="I217" s="23"/>
      <c r="J217" s="126">
        <f t="shared" ref="J217:T217" si="9">SUM( J161, J170, J179, J188, J152 )</f>
        <v>2739.2268624643116</v>
      </c>
      <c r="K217" s="126">
        <f t="shared" si="9"/>
        <v>0</v>
      </c>
      <c r="L217" s="126">
        <f t="shared" si="9"/>
        <v>137.42700259349908</v>
      </c>
      <c r="M217" s="126">
        <f t="shared" si="9"/>
        <v>0</v>
      </c>
      <c r="N217" s="126">
        <f t="shared" si="9"/>
        <v>602.86318631881966</v>
      </c>
      <c r="O217" s="126">
        <f t="shared" si="9"/>
        <v>99.466024384043422</v>
      </c>
      <c r="P217" s="126">
        <f t="shared" si="9"/>
        <v>7.1265271734790092</v>
      </c>
      <c r="Q217" s="126">
        <f t="shared" si="9"/>
        <v>0</v>
      </c>
      <c r="R217" s="126">
        <f t="shared" si="9"/>
        <v>0</v>
      </c>
      <c r="S217" s="126">
        <f t="shared" si="9"/>
        <v>0</v>
      </c>
      <c r="T217" s="126">
        <f t="shared" si="9"/>
        <v>0</v>
      </c>
      <c r="U217" s="83"/>
      <c r="V217" s="126">
        <f>SUM( V161, V170, V179, V188, V152 )</f>
        <v>0</v>
      </c>
      <c r="W217" s="83"/>
      <c r="X217" s="126">
        <f>SUM( X161, X170, X179, X188, X152 )</f>
        <v>0</v>
      </c>
      <c r="Y217" s="83"/>
    </row>
    <row r="218" spans="5:27" x14ac:dyDescent="0.35">
      <c r="F218" s="72" t="s">
        <v>248</v>
      </c>
      <c r="G218" s="72" t="s">
        <v>207</v>
      </c>
      <c r="J218" s="330">
        <f t="shared" ref="J218:T218" si="10">SUM( J162, J171, J180, J189, J153 )</f>
        <v>10465.580404895036</v>
      </c>
      <c r="K218" s="330">
        <f t="shared" si="10"/>
        <v>0</v>
      </c>
      <c r="L218" s="330">
        <f t="shared" si="10"/>
        <v>734.72882908632027</v>
      </c>
      <c r="M218" s="330">
        <f t="shared" si="10"/>
        <v>0</v>
      </c>
      <c r="N218" s="330">
        <f t="shared" si="10"/>
        <v>4564.0960310134724</v>
      </c>
      <c r="O218" s="330">
        <f t="shared" si="10"/>
        <v>441.15802829514786</v>
      </c>
      <c r="P218" s="330">
        <f t="shared" si="10"/>
        <v>29.927127475554691</v>
      </c>
      <c r="Q218" s="425">
        <f t="shared" si="10"/>
        <v>0.65693548387096823</v>
      </c>
      <c r="R218" s="425">
        <f t="shared" si="10"/>
        <v>0</v>
      </c>
      <c r="S218" s="425">
        <f t="shared" si="10"/>
        <v>0</v>
      </c>
      <c r="T218" s="330">
        <f t="shared" si="10"/>
        <v>0</v>
      </c>
      <c r="U218" s="79"/>
      <c r="V218" s="330">
        <f>SUM( V162, V171, V180, V189, V153 )</f>
        <v>0</v>
      </c>
      <c r="W218" s="79"/>
      <c r="X218" s="330">
        <f>SUM( X162, X171, X180, X189, X153 )</f>
        <v>0</v>
      </c>
      <c r="Y218" s="79"/>
    </row>
    <row r="219" spans="5:27" x14ac:dyDescent="0.35">
      <c r="F219" s="72" t="s">
        <v>249</v>
      </c>
      <c r="G219" s="72" t="s">
        <v>207</v>
      </c>
      <c r="J219" s="330">
        <f t="shared" ref="J219:T219" si="11">SUM( J163, J172, J181, J190, J154 )</f>
        <v>7996.9438121945923</v>
      </c>
      <c r="K219" s="330">
        <f t="shared" si="11"/>
        <v>0</v>
      </c>
      <c r="L219" s="330">
        <f t="shared" si="11"/>
        <v>408.86267869503791</v>
      </c>
      <c r="M219" s="330">
        <f t="shared" si="11"/>
        <v>0</v>
      </c>
      <c r="N219" s="330">
        <f t="shared" si="11"/>
        <v>3793.8037354275775</v>
      </c>
      <c r="O219" s="330">
        <f t="shared" si="11"/>
        <v>484.42753782301821</v>
      </c>
      <c r="P219" s="330">
        <f t="shared" si="11"/>
        <v>22.902476669561068</v>
      </c>
      <c r="Q219" s="425">
        <f t="shared" si="11"/>
        <v>0.37541935483870986</v>
      </c>
      <c r="R219" s="425">
        <f t="shared" si="11"/>
        <v>0</v>
      </c>
      <c r="S219" s="425">
        <f t="shared" si="11"/>
        <v>0</v>
      </c>
      <c r="T219" s="330">
        <f t="shared" si="11"/>
        <v>0</v>
      </c>
      <c r="U219" s="79"/>
      <c r="V219" s="330">
        <f>SUM( V163, V172, V181, V190, V154 )</f>
        <v>0</v>
      </c>
      <c r="W219" s="79"/>
      <c r="X219" s="330">
        <f>SUM( X163, X172, X181, X190, X154 )</f>
        <v>0</v>
      </c>
      <c r="Y219" s="79"/>
    </row>
    <row r="220" spans="5:27" x14ac:dyDescent="0.35">
      <c r="F220" s="72" t="s">
        <v>212</v>
      </c>
      <c r="G220" s="72" t="s">
        <v>212</v>
      </c>
      <c r="J220" s="330">
        <f t="shared" ref="J220:T220" si="12">SUM( J164, J173, J182, J191, J155 )</f>
        <v>7619.4875686369887</v>
      </c>
      <c r="K220" s="330">
        <f t="shared" si="12"/>
        <v>0</v>
      </c>
      <c r="L220" s="330">
        <f t="shared" si="12"/>
        <v>80.943133966835845</v>
      </c>
      <c r="M220" s="330">
        <f t="shared" si="12"/>
        <v>0</v>
      </c>
      <c r="N220" s="330">
        <f t="shared" si="12"/>
        <v>13.125087437722472</v>
      </c>
      <c r="O220" s="330">
        <f t="shared" si="12"/>
        <v>2</v>
      </c>
      <c r="P220" s="330">
        <f t="shared" si="12"/>
        <v>1</v>
      </c>
      <c r="Q220" s="330">
        <f t="shared" si="12"/>
        <v>3.7419354838709675</v>
      </c>
      <c r="R220" s="330">
        <f t="shared" si="12"/>
        <v>0</v>
      </c>
      <c r="S220" s="330">
        <f t="shared" si="12"/>
        <v>0</v>
      </c>
      <c r="T220" s="330">
        <f t="shared" si="12"/>
        <v>0</v>
      </c>
      <c r="U220" s="79"/>
      <c r="V220" s="330">
        <f>SUM( V164, V173, V182, V191, V155 )</f>
        <v>0</v>
      </c>
      <c r="W220" s="79"/>
      <c r="X220" s="330">
        <f>SUM( X164, X173, X182, X191, X155 )</f>
        <v>0</v>
      </c>
      <c r="Y220" s="79"/>
    </row>
    <row r="221" spans="5:27" x14ac:dyDescent="0.35">
      <c r="F221" s="72" t="s">
        <v>250</v>
      </c>
      <c r="G221" s="72" t="s">
        <v>251</v>
      </c>
      <c r="J221" s="79"/>
      <c r="K221" s="79"/>
      <c r="L221" s="79"/>
      <c r="M221" s="79"/>
      <c r="N221" s="330">
        <f t="shared" ref="N221:P223" si="13">SUM( N165, N174, N183, N192, N156 )</f>
        <v>3289.7252518645596</v>
      </c>
      <c r="O221" s="330">
        <f t="shared" si="13"/>
        <v>958.6666666666664</v>
      </c>
      <c r="P221" s="330">
        <f t="shared" si="13"/>
        <v>17750</v>
      </c>
      <c r="Q221" s="79"/>
      <c r="R221" s="79"/>
      <c r="S221" s="79"/>
      <c r="T221" s="79"/>
      <c r="U221" s="79"/>
      <c r="V221" s="79"/>
      <c r="W221" s="79"/>
      <c r="X221" s="79"/>
      <c r="Y221" s="79"/>
    </row>
    <row r="222" spans="5:27" x14ac:dyDescent="0.35">
      <c r="F222" s="72" t="s">
        <v>252</v>
      </c>
      <c r="G222" s="72" t="s">
        <v>251</v>
      </c>
      <c r="J222" s="79"/>
      <c r="K222" s="79"/>
      <c r="L222" s="79"/>
      <c r="M222" s="79"/>
      <c r="N222" s="330">
        <f t="shared" si="13"/>
        <v>27.228726689623894</v>
      </c>
      <c r="O222" s="330">
        <f t="shared" si="13"/>
        <v>0</v>
      </c>
      <c r="P222" s="330">
        <f t="shared" si="13"/>
        <v>0</v>
      </c>
      <c r="Q222" s="79"/>
      <c r="R222" s="79"/>
      <c r="S222" s="79"/>
      <c r="T222" s="79"/>
      <c r="U222" s="79"/>
      <c r="V222" s="79"/>
      <c r="W222" s="79"/>
      <c r="X222" s="79"/>
      <c r="Y222" s="79"/>
    </row>
    <row r="223" spans="5:27" x14ac:dyDescent="0.35">
      <c r="F223" s="80" t="s">
        <v>253</v>
      </c>
      <c r="G223" s="80" t="s">
        <v>254</v>
      </c>
      <c r="H223" s="37"/>
      <c r="I223" s="37"/>
      <c r="J223" s="81"/>
      <c r="K223" s="81"/>
      <c r="L223" s="81"/>
      <c r="M223" s="81"/>
      <c r="N223" s="100">
        <f t="shared" si="13"/>
        <v>532.03159538450859</v>
      </c>
      <c r="O223" s="100">
        <f t="shared" si="13"/>
        <v>0.38303684789987597</v>
      </c>
      <c r="P223" s="100">
        <f t="shared" si="13"/>
        <v>0</v>
      </c>
      <c r="Q223" s="81"/>
      <c r="R223" s="81"/>
      <c r="S223" s="81"/>
      <c r="T223" s="100">
        <f>SUM( T167, T176, T185, T194, T158 )</f>
        <v>0</v>
      </c>
      <c r="U223" s="81"/>
      <c r="V223" s="100">
        <f>SUM( V167, V176, V185, V194, V158 )</f>
        <v>0</v>
      </c>
      <c r="W223" s="81"/>
      <c r="X223" s="100">
        <f>SUM( X167, X176, X185, X194, X158 )</f>
        <v>0</v>
      </c>
      <c r="Y223" s="81"/>
    </row>
    <row r="224" spans="5:27" x14ac:dyDescent="0.35">
      <c r="G224" s="13"/>
    </row>
    <row r="225" spans="3:43" x14ac:dyDescent="0.35">
      <c r="C225" s="31" t="str">
        <f ca="1">INDEX('Version control'!$H$34:$H$57,MATCH($A$1,'Version control'!$F$34:$F$57,0),1)&amp;"-C: Volume discounting"</f>
        <v>Section 104-C: Volume discounting</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Q225" s="3"/>
    </row>
    <row r="226" spans="3:43" x14ac:dyDescent="0.35">
      <c r="C226" s="32"/>
      <c r="AQ226" s="3"/>
    </row>
    <row r="227" spans="3:43" x14ac:dyDescent="0.35">
      <c r="C227" s="29" t="s">
        <v>446</v>
      </c>
      <c r="AQ227" s="3"/>
    </row>
    <row r="228" spans="3:43" x14ac:dyDescent="0.35">
      <c r="C228" s="32"/>
      <c r="AQ228" s="3"/>
    </row>
    <row r="229" spans="3:43" x14ac:dyDescent="0.35">
      <c r="C229" s="29"/>
      <c r="E229" s="32" t="s">
        <v>156</v>
      </c>
      <c r="I229" t="s">
        <v>154</v>
      </c>
      <c r="AA229" t="s">
        <v>309</v>
      </c>
      <c r="AQ229" s="3"/>
    </row>
    <row r="230" spans="3:43" x14ac:dyDescent="0.35">
      <c r="C230" s="29"/>
      <c r="E230" s="32"/>
      <c r="AQ230" s="3"/>
    </row>
    <row r="231" spans="3:43" x14ac:dyDescent="0.35">
      <c r="F231" s="28" t="s">
        <v>447</v>
      </c>
      <c r="G231" s="28" t="s">
        <v>207</v>
      </c>
      <c r="J231" s="98">
        <f t="shared" ref="J231:Y231" si="14">J$199</f>
        <v>322302.2649968901</v>
      </c>
      <c r="K231" s="98">
        <f t="shared" si="14"/>
        <v>9396.1650095049135</v>
      </c>
      <c r="L231" s="98">
        <f t="shared" si="14"/>
        <v>103863.01731242402</v>
      </c>
      <c r="M231" s="98">
        <f t="shared" si="14"/>
        <v>454.90419700623829</v>
      </c>
      <c r="N231" s="98">
        <f t="shared" si="14"/>
        <v>141299.24013613618</v>
      </c>
      <c r="O231" s="98">
        <f t="shared" si="14"/>
        <v>11232.118494725622</v>
      </c>
      <c r="P231" s="98">
        <f t="shared" si="14"/>
        <v>74080.415998335695</v>
      </c>
      <c r="Q231" s="98">
        <f t="shared" si="14"/>
        <v>6021.5121963867368</v>
      </c>
      <c r="R231" s="98">
        <f t="shared" si="14"/>
        <v>650.78467700282442</v>
      </c>
      <c r="S231" s="98">
        <f t="shared" si="14"/>
        <v>0.19900000000000004</v>
      </c>
      <c r="T231" s="98">
        <f t="shared" si="14"/>
        <v>37028.598245563808</v>
      </c>
      <c r="U231" s="98">
        <f t="shared" si="14"/>
        <v>0</v>
      </c>
      <c r="V231" s="98">
        <f t="shared" si="14"/>
        <v>324.10167419354838</v>
      </c>
      <c r="W231" s="98">
        <f t="shared" si="14"/>
        <v>0</v>
      </c>
      <c r="X231" s="98">
        <f t="shared" si="14"/>
        <v>166464.50181248464</v>
      </c>
      <c r="Y231" s="98">
        <f t="shared" si="14"/>
        <v>0</v>
      </c>
      <c r="AQ231" s="3"/>
    </row>
    <row r="232" spans="3:43" x14ac:dyDescent="0.35">
      <c r="F232" s="28" t="s">
        <v>448</v>
      </c>
      <c r="G232" s="28" t="s">
        <v>207</v>
      </c>
      <c r="J232" s="98">
        <f t="shared" ref="J232:Y232" si="15">J$208</f>
        <v>1256.8602110655297</v>
      </c>
      <c r="K232" s="98">
        <f t="shared" si="15"/>
        <v>0</v>
      </c>
      <c r="L232" s="98">
        <f t="shared" si="15"/>
        <v>15.407148144847113</v>
      </c>
      <c r="M232" s="98">
        <f t="shared" si="15"/>
        <v>0</v>
      </c>
      <c r="N232" s="98">
        <f t="shared" si="15"/>
        <v>219.25640851452016</v>
      </c>
      <c r="O232" s="98">
        <f t="shared" si="15"/>
        <v>0</v>
      </c>
      <c r="P232" s="98">
        <f t="shared" si="15"/>
        <v>0</v>
      </c>
      <c r="Q232" s="98">
        <f t="shared" si="15"/>
        <v>4.4156000000000057</v>
      </c>
      <c r="R232" s="98">
        <f t="shared" si="15"/>
        <v>0</v>
      </c>
      <c r="S232" s="98">
        <f t="shared" si="15"/>
        <v>0</v>
      </c>
      <c r="T232" s="98">
        <f t="shared" si="15"/>
        <v>0</v>
      </c>
      <c r="U232" s="98">
        <f t="shared" si="15"/>
        <v>0</v>
      </c>
      <c r="V232" s="98">
        <f t="shared" si="15"/>
        <v>0</v>
      </c>
      <c r="W232" s="98">
        <f t="shared" si="15"/>
        <v>0</v>
      </c>
      <c r="X232" s="98">
        <f t="shared" si="15"/>
        <v>0</v>
      </c>
      <c r="Y232" s="98">
        <f t="shared" si="15"/>
        <v>0</v>
      </c>
      <c r="AQ232" s="3"/>
    </row>
    <row r="233" spans="3:43" x14ac:dyDescent="0.35">
      <c r="F233" s="28" t="s">
        <v>449</v>
      </c>
      <c r="G233" s="28" t="s">
        <v>207</v>
      </c>
      <c r="J233" s="98">
        <f t="shared" ref="J233:Y233" si="16">J$217</f>
        <v>2739.2268624643116</v>
      </c>
      <c r="K233" s="98">
        <f t="shared" si="16"/>
        <v>0</v>
      </c>
      <c r="L233" s="98">
        <f t="shared" si="16"/>
        <v>137.42700259349908</v>
      </c>
      <c r="M233" s="98">
        <f t="shared" si="16"/>
        <v>0</v>
      </c>
      <c r="N233" s="98">
        <f t="shared" si="16"/>
        <v>602.86318631881966</v>
      </c>
      <c r="O233" s="98">
        <f t="shared" si="16"/>
        <v>99.466024384043422</v>
      </c>
      <c r="P233" s="98">
        <f t="shared" si="16"/>
        <v>7.1265271734790092</v>
      </c>
      <c r="Q233" s="98">
        <f t="shared" si="16"/>
        <v>0</v>
      </c>
      <c r="R233" s="98">
        <f t="shared" si="16"/>
        <v>0</v>
      </c>
      <c r="S233" s="98">
        <f t="shared" si="16"/>
        <v>0</v>
      </c>
      <c r="T233" s="98">
        <f t="shared" si="16"/>
        <v>0</v>
      </c>
      <c r="U233" s="98">
        <f t="shared" si="16"/>
        <v>0</v>
      </c>
      <c r="V233" s="98">
        <f t="shared" si="16"/>
        <v>0</v>
      </c>
      <c r="W233" s="98">
        <f t="shared" si="16"/>
        <v>0</v>
      </c>
      <c r="X233" s="98">
        <f t="shared" si="16"/>
        <v>0</v>
      </c>
      <c r="Y233" s="98">
        <f t="shared" si="16"/>
        <v>0</v>
      </c>
      <c r="AQ233" s="3"/>
    </row>
    <row r="234" spans="3:43" x14ac:dyDescent="0.35">
      <c r="F234" s="28" t="s">
        <v>450</v>
      </c>
      <c r="G234" s="28" t="s">
        <v>167</v>
      </c>
      <c r="J234" s="332">
        <f>IF(J$39, J$45, J$34)</f>
        <v>0.29370961868251882</v>
      </c>
      <c r="K234" s="332">
        <f t="shared" ref="K234:Y234" si="17">IF(K$39, K$45, K$34)</f>
        <v>0.29370961868251882</v>
      </c>
      <c r="L234" s="332">
        <f t="shared" si="17"/>
        <v>0.29370961868251882</v>
      </c>
      <c r="M234" s="332">
        <f t="shared" si="17"/>
        <v>0.29370961868251882</v>
      </c>
      <c r="N234" s="332">
        <f t="shared" si="17"/>
        <v>0.29370961868251882</v>
      </c>
      <c r="O234" s="332">
        <f t="shared" si="17"/>
        <v>0</v>
      </c>
      <c r="P234" s="332">
        <f t="shared" si="17"/>
        <v>0</v>
      </c>
      <c r="Q234" s="332">
        <f t="shared" si="17"/>
        <v>0.29370961868251882</v>
      </c>
      <c r="R234" s="332">
        <f t="shared" si="17"/>
        <v>0</v>
      </c>
      <c r="S234" s="332">
        <f t="shared" si="17"/>
        <v>0</v>
      </c>
      <c r="T234" s="332">
        <f t="shared" si="17"/>
        <v>0</v>
      </c>
      <c r="U234" s="332">
        <f t="shared" si="17"/>
        <v>0</v>
      </c>
      <c r="V234" s="332">
        <f t="shared" si="17"/>
        <v>0</v>
      </c>
      <c r="W234" s="332">
        <f t="shared" si="17"/>
        <v>0</v>
      </c>
      <c r="X234" s="332">
        <f t="shared" si="17"/>
        <v>0</v>
      </c>
      <c r="Y234" s="332">
        <f t="shared" si="17"/>
        <v>0</v>
      </c>
      <c r="AQ234" s="3"/>
    </row>
    <row r="235" spans="3:43" x14ac:dyDescent="0.35">
      <c r="F235" s="28" t="s">
        <v>451</v>
      </c>
      <c r="G235" s="28" t="s">
        <v>167</v>
      </c>
      <c r="J235" s="332">
        <f>IF(J$39, J$45, J$35)</f>
        <v>0.53256520183821399</v>
      </c>
      <c r="K235" s="332">
        <f t="shared" ref="K235:Y235" si="18">IF(K$39, K$45, K$35)</f>
        <v>0.53256520183821399</v>
      </c>
      <c r="L235" s="332">
        <f t="shared" si="18"/>
        <v>0.53256520183821399</v>
      </c>
      <c r="M235" s="332">
        <f t="shared" si="18"/>
        <v>0.53256520183821399</v>
      </c>
      <c r="N235" s="332">
        <f t="shared" si="18"/>
        <v>0.53256520183821399</v>
      </c>
      <c r="O235" s="332">
        <f t="shared" si="18"/>
        <v>0.32519003293204285</v>
      </c>
      <c r="P235" s="332">
        <f t="shared" si="18"/>
        <v>0.26241459087249852</v>
      </c>
      <c r="Q235" s="332">
        <f t="shared" si="18"/>
        <v>0.53256520183821399</v>
      </c>
      <c r="R235" s="332">
        <f t="shared" si="18"/>
        <v>0</v>
      </c>
      <c r="S235" s="332">
        <f t="shared" si="18"/>
        <v>0</v>
      </c>
      <c r="T235" s="332">
        <f t="shared" si="18"/>
        <v>0</v>
      </c>
      <c r="U235" s="332">
        <f t="shared" si="18"/>
        <v>0</v>
      </c>
      <c r="V235" s="332">
        <f t="shared" si="18"/>
        <v>0</v>
      </c>
      <c r="W235" s="332">
        <f t="shared" si="18"/>
        <v>0</v>
      </c>
      <c r="X235" s="332">
        <f t="shared" si="18"/>
        <v>0</v>
      </c>
      <c r="Y235" s="332">
        <f t="shared" si="18"/>
        <v>0</v>
      </c>
      <c r="AQ235" s="3"/>
    </row>
    <row r="236" spans="3:43" x14ac:dyDescent="0.35">
      <c r="F236" s="28" t="s">
        <v>452</v>
      </c>
      <c r="G236" s="28" t="s">
        <v>207</v>
      </c>
      <c r="J236" s="98">
        <f t="shared" ref="J236:Y236" si="19">J232 * (1 - J234)</f>
        <v>887.70827773624296</v>
      </c>
      <c r="K236" s="98">
        <f t="shared" si="19"/>
        <v>0</v>
      </c>
      <c r="L236" s="98">
        <f t="shared" si="19"/>
        <v>10.88192053823899</v>
      </c>
      <c r="M236" s="98">
        <f t="shared" si="19"/>
        <v>0</v>
      </c>
      <c r="N236" s="98">
        <f t="shared" si="19"/>
        <v>154.85869237602188</v>
      </c>
      <c r="O236" s="98">
        <f t="shared" si="19"/>
        <v>0</v>
      </c>
      <c r="P236" s="98">
        <f t="shared" si="19"/>
        <v>0</v>
      </c>
      <c r="Q236" s="98">
        <f t="shared" si="19"/>
        <v>3.1186958077454743</v>
      </c>
      <c r="R236" s="98">
        <f t="shared" si="19"/>
        <v>0</v>
      </c>
      <c r="S236" s="98">
        <f t="shared" si="19"/>
        <v>0</v>
      </c>
      <c r="T236" s="98">
        <f t="shared" si="19"/>
        <v>0</v>
      </c>
      <c r="U236" s="98">
        <f t="shared" si="19"/>
        <v>0</v>
      </c>
      <c r="V236" s="98">
        <f t="shared" si="19"/>
        <v>0</v>
      </c>
      <c r="W236" s="98">
        <f t="shared" si="19"/>
        <v>0</v>
      </c>
      <c r="X236" s="98">
        <f t="shared" si="19"/>
        <v>0</v>
      </c>
      <c r="Y236" s="98">
        <f t="shared" si="19"/>
        <v>0</v>
      </c>
      <c r="AQ236" s="3"/>
    </row>
    <row r="237" spans="3:43" x14ac:dyDescent="0.35">
      <c r="F237" s="67" t="s">
        <v>453</v>
      </c>
      <c r="G237" s="67" t="s">
        <v>207</v>
      </c>
      <c r="H237" s="37"/>
      <c r="I237" s="37"/>
      <c r="J237" s="100">
        <f t="shared" ref="J237:Y237" si="20">J233 * (1 - J235)</f>
        <v>1280.4099555753478</v>
      </c>
      <c r="K237" s="100">
        <f t="shared" si="20"/>
        <v>0</v>
      </c>
      <c r="L237" s="100">
        <f t="shared" si="20"/>
        <v>64.238163219271485</v>
      </c>
      <c r="M237" s="100">
        <f t="shared" si="20"/>
        <v>0</v>
      </c>
      <c r="N237" s="100">
        <f t="shared" si="20"/>
        <v>281.79923181610866</v>
      </c>
      <c r="O237" s="100">
        <f t="shared" si="20"/>
        <v>67.120664638976962</v>
      </c>
      <c r="P237" s="100">
        <f t="shared" si="20"/>
        <v>5.2564224609087713</v>
      </c>
      <c r="Q237" s="100">
        <f t="shared" si="20"/>
        <v>0</v>
      </c>
      <c r="R237" s="100">
        <f t="shared" si="20"/>
        <v>0</v>
      </c>
      <c r="S237" s="100">
        <f t="shared" si="20"/>
        <v>0</v>
      </c>
      <c r="T237" s="100">
        <f t="shared" si="20"/>
        <v>0</v>
      </c>
      <c r="U237" s="100">
        <f t="shared" si="20"/>
        <v>0</v>
      </c>
      <c r="V237" s="100">
        <f t="shared" si="20"/>
        <v>0</v>
      </c>
      <c r="W237" s="100">
        <f t="shared" si="20"/>
        <v>0</v>
      </c>
      <c r="X237" s="100">
        <f t="shared" si="20"/>
        <v>0</v>
      </c>
      <c r="Y237" s="100">
        <f t="shared" si="20"/>
        <v>0</v>
      </c>
      <c r="AQ237" s="3"/>
    </row>
    <row r="238" spans="3:43" x14ac:dyDescent="0.35">
      <c r="F238" s="28" t="s">
        <v>454</v>
      </c>
      <c r="G238" s="28" t="s">
        <v>207</v>
      </c>
      <c r="J238" s="121">
        <f t="shared" ref="J238:Y238" si="21">J231 + J236 + J237</f>
        <v>324470.38323020173</v>
      </c>
      <c r="K238" s="121">
        <f t="shared" si="21"/>
        <v>9396.1650095049135</v>
      </c>
      <c r="L238" s="121">
        <f t="shared" si="21"/>
        <v>103938.13739618154</v>
      </c>
      <c r="M238" s="121">
        <f t="shared" si="21"/>
        <v>454.90419700623829</v>
      </c>
      <c r="N238" s="121">
        <f t="shared" si="21"/>
        <v>141735.89806032833</v>
      </c>
      <c r="O238" s="121">
        <f t="shared" si="21"/>
        <v>11299.239159364599</v>
      </c>
      <c r="P238" s="121">
        <f t="shared" si="21"/>
        <v>74085.672420796604</v>
      </c>
      <c r="Q238" s="121">
        <f t="shared" si="21"/>
        <v>6024.6308921944819</v>
      </c>
      <c r="R238" s="121">
        <f t="shared" si="21"/>
        <v>650.78467700282442</v>
      </c>
      <c r="S238" s="121">
        <f t="shared" si="21"/>
        <v>0.19900000000000004</v>
      </c>
      <c r="T238" s="121">
        <f t="shared" si="21"/>
        <v>37028.598245563808</v>
      </c>
      <c r="U238" s="121">
        <f t="shared" si="21"/>
        <v>0</v>
      </c>
      <c r="V238" s="121">
        <f t="shared" si="21"/>
        <v>324.10167419354838</v>
      </c>
      <c r="W238" s="121">
        <f t="shared" si="21"/>
        <v>0</v>
      </c>
      <c r="X238" s="121">
        <f t="shared" si="21"/>
        <v>166464.50181248464</v>
      </c>
      <c r="Y238" s="121">
        <f t="shared" si="21"/>
        <v>0</v>
      </c>
      <c r="AQ238" s="3"/>
    </row>
    <row r="239" spans="3:43" x14ac:dyDescent="0.35">
      <c r="E239" s="32"/>
      <c r="J239" s="89"/>
      <c r="K239" s="89"/>
      <c r="L239" s="89"/>
      <c r="M239" s="89"/>
      <c r="N239" s="89"/>
      <c r="O239" s="89"/>
      <c r="P239" s="89"/>
      <c r="Q239" s="89"/>
      <c r="R239" s="89"/>
      <c r="S239" s="89"/>
      <c r="T239" s="89"/>
      <c r="U239" s="89"/>
      <c r="V239" s="89"/>
      <c r="W239" s="89"/>
      <c r="X239" s="89"/>
      <c r="Y239" s="89"/>
      <c r="AQ239" s="3"/>
    </row>
    <row r="240" spans="3:43" x14ac:dyDescent="0.35">
      <c r="E240" s="32" t="s">
        <v>157</v>
      </c>
      <c r="I240" t="s">
        <v>154</v>
      </c>
      <c r="J240" s="89"/>
      <c r="K240" s="89"/>
      <c r="L240" s="89"/>
      <c r="M240" s="89"/>
      <c r="N240" s="89"/>
      <c r="O240" s="89"/>
      <c r="P240" s="89"/>
      <c r="Q240" s="89"/>
      <c r="R240" s="89"/>
      <c r="S240" s="89"/>
      <c r="T240" s="89"/>
      <c r="U240" s="89"/>
      <c r="V240" s="89"/>
      <c r="W240" s="89"/>
      <c r="X240" s="89"/>
      <c r="Y240" s="89"/>
      <c r="AA240" t="s">
        <v>309</v>
      </c>
      <c r="AQ240" s="3"/>
    </row>
    <row r="241" spans="5:43" x14ac:dyDescent="0.35">
      <c r="E241" s="32"/>
      <c r="J241" s="89"/>
      <c r="K241" s="89"/>
      <c r="L241" s="89"/>
      <c r="M241" s="89"/>
      <c r="N241" s="89"/>
      <c r="O241" s="89"/>
      <c r="P241" s="89"/>
      <c r="Q241" s="89"/>
      <c r="R241" s="89"/>
      <c r="S241" s="89"/>
      <c r="T241" s="89"/>
      <c r="U241" s="89"/>
      <c r="V241" s="89"/>
      <c r="W241" s="89"/>
      <c r="X241" s="89"/>
      <c r="Y241" s="89"/>
      <c r="AQ241" s="3"/>
    </row>
    <row r="242" spans="5:43" x14ac:dyDescent="0.35">
      <c r="F242" s="28" t="s">
        <v>447</v>
      </c>
      <c r="G242" s="28" t="s">
        <v>207</v>
      </c>
      <c r="J242" s="98">
        <f t="shared" ref="J242:Y242" si="22">J$200</f>
        <v>1235375.6941167442</v>
      </c>
      <c r="K242" s="98">
        <f t="shared" si="22"/>
        <v>146290.47824065451</v>
      </c>
      <c r="L242" s="98">
        <f t="shared" si="22"/>
        <v>540625.51124608284</v>
      </c>
      <c r="M242" s="98">
        <f t="shared" si="22"/>
        <v>8911.3295663483332</v>
      </c>
      <c r="N242" s="98">
        <f t="shared" si="22"/>
        <v>707101.33919069078</v>
      </c>
      <c r="O242" s="98">
        <f t="shared" si="22"/>
        <v>53028.209005448516</v>
      </c>
      <c r="P242" s="98">
        <f t="shared" si="22"/>
        <v>365787.27642019925</v>
      </c>
      <c r="Q242" s="98">
        <f t="shared" si="22"/>
        <v>29213.624042833315</v>
      </c>
      <c r="R242" s="98">
        <f t="shared" si="22"/>
        <v>3502.3381089269142</v>
      </c>
      <c r="S242" s="98">
        <f t="shared" si="22"/>
        <v>1.391</v>
      </c>
      <c r="T242" s="98">
        <f t="shared" si="22"/>
        <v>177224.06606561315</v>
      </c>
      <c r="U242" s="98">
        <f t="shared" si="22"/>
        <v>0</v>
      </c>
      <c r="V242" s="98">
        <f t="shared" si="22"/>
        <v>1487.9755864997869</v>
      </c>
      <c r="W242" s="98">
        <f t="shared" si="22"/>
        <v>0</v>
      </c>
      <c r="X242" s="98">
        <f t="shared" si="22"/>
        <v>712457.12239743408</v>
      </c>
      <c r="Y242" s="98">
        <f t="shared" si="22"/>
        <v>0</v>
      </c>
      <c r="AQ242" s="3"/>
    </row>
    <row r="243" spans="5:43" x14ac:dyDescent="0.35">
      <c r="F243" s="28" t="s">
        <v>448</v>
      </c>
      <c r="G243" s="28" t="s">
        <v>207</v>
      </c>
      <c r="J243" s="98">
        <f t="shared" ref="J243:Y243" si="23">J$209</f>
        <v>4351.0341653864743</v>
      </c>
      <c r="K243" s="98">
        <f t="shared" si="23"/>
        <v>0</v>
      </c>
      <c r="L243" s="98">
        <f t="shared" si="23"/>
        <v>90.152631219894985</v>
      </c>
      <c r="M243" s="98">
        <f t="shared" si="23"/>
        <v>0</v>
      </c>
      <c r="N243" s="98">
        <f t="shared" si="23"/>
        <v>1222.2073415444158</v>
      </c>
      <c r="O243" s="98">
        <f t="shared" si="23"/>
        <v>0</v>
      </c>
      <c r="P243" s="98">
        <f t="shared" si="23"/>
        <v>0</v>
      </c>
      <c r="Q243" s="98">
        <f t="shared" si="23"/>
        <v>146.81940000000003</v>
      </c>
      <c r="R243" s="98">
        <f t="shared" si="23"/>
        <v>0</v>
      </c>
      <c r="S243" s="98">
        <f t="shared" si="23"/>
        <v>0</v>
      </c>
      <c r="T243" s="98">
        <f t="shared" si="23"/>
        <v>0</v>
      </c>
      <c r="U243" s="98">
        <f t="shared" si="23"/>
        <v>0</v>
      </c>
      <c r="V243" s="98">
        <f t="shared" si="23"/>
        <v>0</v>
      </c>
      <c r="W243" s="98">
        <f t="shared" si="23"/>
        <v>0</v>
      </c>
      <c r="X243" s="98">
        <f t="shared" si="23"/>
        <v>0</v>
      </c>
      <c r="Y243" s="98">
        <f t="shared" si="23"/>
        <v>0</v>
      </c>
      <c r="AQ243" s="3"/>
    </row>
    <row r="244" spans="5:43" x14ac:dyDescent="0.35">
      <c r="F244" s="28" t="s">
        <v>449</v>
      </c>
      <c r="G244" s="28" t="s">
        <v>207</v>
      </c>
      <c r="J244" s="98">
        <f t="shared" ref="J244:Y244" si="24">J$218</f>
        <v>10465.580404895036</v>
      </c>
      <c r="K244" s="98">
        <f t="shared" si="24"/>
        <v>0</v>
      </c>
      <c r="L244" s="98">
        <f t="shared" si="24"/>
        <v>734.72882908632027</v>
      </c>
      <c r="M244" s="98">
        <f t="shared" si="24"/>
        <v>0</v>
      </c>
      <c r="N244" s="98">
        <f t="shared" si="24"/>
        <v>4564.0960310134724</v>
      </c>
      <c r="O244" s="98">
        <f t="shared" si="24"/>
        <v>441.15802829514786</v>
      </c>
      <c r="P244" s="98">
        <f t="shared" si="24"/>
        <v>29.927127475554691</v>
      </c>
      <c r="Q244" s="98">
        <f t="shared" si="24"/>
        <v>0.65693548387096823</v>
      </c>
      <c r="R244" s="98">
        <f t="shared" si="24"/>
        <v>0</v>
      </c>
      <c r="S244" s="98">
        <f t="shared" si="24"/>
        <v>0</v>
      </c>
      <c r="T244" s="98">
        <f t="shared" si="24"/>
        <v>0</v>
      </c>
      <c r="U244" s="98">
        <f t="shared" si="24"/>
        <v>0</v>
      </c>
      <c r="V244" s="98">
        <f t="shared" si="24"/>
        <v>0</v>
      </c>
      <c r="W244" s="98">
        <f t="shared" si="24"/>
        <v>0</v>
      </c>
      <c r="X244" s="98">
        <f t="shared" si="24"/>
        <v>0</v>
      </c>
      <c r="Y244" s="98">
        <f t="shared" si="24"/>
        <v>0</v>
      </c>
      <c r="AQ244" s="3"/>
    </row>
    <row r="245" spans="5:43" x14ac:dyDescent="0.35">
      <c r="F245" s="28" t="s">
        <v>450</v>
      </c>
      <c r="G245" s="28" t="s">
        <v>167</v>
      </c>
      <c r="J245" s="385">
        <f t="shared" ref="J245:Y245" si="25">IF(J$39, J$45, J$34)</f>
        <v>0.29370961868251882</v>
      </c>
      <c r="K245" s="385">
        <f t="shared" si="25"/>
        <v>0.29370961868251882</v>
      </c>
      <c r="L245" s="385">
        <f t="shared" si="25"/>
        <v>0.29370961868251882</v>
      </c>
      <c r="M245" s="385">
        <f t="shared" si="25"/>
        <v>0.29370961868251882</v>
      </c>
      <c r="N245" s="385">
        <f t="shared" si="25"/>
        <v>0.29370961868251882</v>
      </c>
      <c r="O245" s="385">
        <f t="shared" si="25"/>
        <v>0</v>
      </c>
      <c r="P245" s="385">
        <f t="shared" si="25"/>
        <v>0</v>
      </c>
      <c r="Q245" s="385">
        <f t="shared" si="25"/>
        <v>0.29370961868251882</v>
      </c>
      <c r="R245" s="385">
        <f t="shared" si="25"/>
        <v>0</v>
      </c>
      <c r="S245" s="385">
        <f t="shared" si="25"/>
        <v>0</v>
      </c>
      <c r="T245" s="385">
        <f t="shared" si="25"/>
        <v>0</v>
      </c>
      <c r="U245" s="385">
        <f t="shared" si="25"/>
        <v>0</v>
      </c>
      <c r="V245" s="385">
        <f t="shared" si="25"/>
        <v>0</v>
      </c>
      <c r="W245" s="385">
        <f t="shared" si="25"/>
        <v>0</v>
      </c>
      <c r="X245" s="385">
        <f t="shared" si="25"/>
        <v>0</v>
      </c>
      <c r="Y245" s="385">
        <f t="shared" si="25"/>
        <v>0</v>
      </c>
      <c r="AQ245" s="3"/>
    </row>
    <row r="246" spans="5:43" x14ac:dyDescent="0.35">
      <c r="F246" s="28" t="s">
        <v>451</v>
      </c>
      <c r="G246" s="28" t="s">
        <v>167</v>
      </c>
      <c r="J246" s="385">
        <f t="shared" ref="J246:Y246" si="26">IF(J$39, J$45, J$35)</f>
        <v>0.53256520183821399</v>
      </c>
      <c r="K246" s="385">
        <f t="shared" si="26"/>
        <v>0.53256520183821399</v>
      </c>
      <c r="L246" s="385">
        <f t="shared" si="26"/>
        <v>0.53256520183821399</v>
      </c>
      <c r="M246" s="385">
        <f t="shared" si="26"/>
        <v>0.53256520183821399</v>
      </c>
      <c r="N246" s="385">
        <f t="shared" si="26"/>
        <v>0.53256520183821399</v>
      </c>
      <c r="O246" s="385">
        <f t="shared" si="26"/>
        <v>0.32519003293204285</v>
      </c>
      <c r="P246" s="385">
        <f t="shared" si="26"/>
        <v>0.26241459087249852</v>
      </c>
      <c r="Q246" s="385">
        <f t="shared" si="26"/>
        <v>0.53256520183821399</v>
      </c>
      <c r="R246" s="385">
        <f t="shared" si="26"/>
        <v>0</v>
      </c>
      <c r="S246" s="385">
        <f t="shared" si="26"/>
        <v>0</v>
      </c>
      <c r="T246" s="385">
        <f t="shared" si="26"/>
        <v>0</v>
      </c>
      <c r="U246" s="385">
        <f t="shared" si="26"/>
        <v>0</v>
      </c>
      <c r="V246" s="385">
        <f t="shared" si="26"/>
        <v>0</v>
      </c>
      <c r="W246" s="385">
        <f t="shared" si="26"/>
        <v>0</v>
      </c>
      <c r="X246" s="385">
        <f t="shared" si="26"/>
        <v>0</v>
      </c>
      <c r="Y246" s="385">
        <f t="shared" si="26"/>
        <v>0</v>
      </c>
      <c r="AQ246" s="3"/>
    </row>
    <row r="247" spans="5:43" x14ac:dyDescent="0.35">
      <c r="F247" s="28" t="s">
        <v>452</v>
      </c>
      <c r="G247" s="28" t="s">
        <v>207</v>
      </c>
      <c r="J247" s="98">
        <f t="shared" ref="J247:Y247" si="27">J243 * (1 - J245)</f>
        <v>3073.0935797962015</v>
      </c>
      <c r="K247" s="98">
        <f t="shared" si="27"/>
        <v>0</v>
      </c>
      <c r="L247" s="98">
        <f t="shared" si="27"/>
        <v>63.673936281073892</v>
      </c>
      <c r="M247" s="98">
        <f t="shared" si="27"/>
        <v>0</v>
      </c>
      <c r="N247" s="98">
        <f t="shared" si="27"/>
        <v>863.23328930843047</v>
      </c>
      <c r="O247" s="98">
        <f t="shared" si="27"/>
        <v>0</v>
      </c>
      <c r="P247" s="98">
        <f t="shared" si="27"/>
        <v>0</v>
      </c>
      <c r="Q247" s="98">
        <f t="shared" si="27"/>
        <v>103.69713001080383</v>
      </c>
      <c r="R247" s="98">
        <f t="shared" si="27"/>
        <v>0</v>
      </c>
      <c r="S247" s="98">
        <f t="shared" si="27"/>
        <v>0</v>
      </c>
      <c r="T247" s="98">
        <f t="shared" si="27"/>
        <v>0</v>
      </c>
      <c r="U247" s="98">
        <f t="shared" si="27"/>
        <v>0</v>
      </c>
      <c r="V247" s="98">
        <f t="shared" si="27"/>
        <v>0</v>
      </c>
      <c r="W247" s="98">
        <f t="shared" si="27"/>
        <v>0</v>
      </c>
      <c r="X247" s="98">
        <f t="shared" si="27"/>
        <v>0</v>
      </c>
      <c r="Y247" s="98">
        <f t="shared" si="27"/>
        <v>0</v>
      </c>
      <c r="AQ247" s="3"/>
    </row>
    <row r="248" spans="5:43" x14ac:dyDescent="0.35">
      <c r="F248" s="67" t="s">
        <v>453</v>
      </c>
      <c r="G248" s="67" t="s">
        <v>207</v>
      </c>
      <c r="H248" s="37"/>
      <c r="I248" s="37"/>
      <c r="J248" s="100">
        <f t="shared" ref="J248:Y248" si="28">J244 * (1 - J246)</f>
        <v>4891.9764642080536</v>
      </c>
      <c r="K248" s="100">
        <f t="shared" si="28"/>
        <v>0</v>
      </c>
      <c r="L248" s="100">
        <f t="shared" si="28"/>
        <v>343.43782192760949</v>
      </c>
      <c r="M248" s="100">
        <f t="shared" si="28"/>
        <v>0</v>
      </c>
      <c r="N248" s="100">
        <f t="shared" si="28"/>
        <v>2133.4173070477909</v>
      </c>
      <c r="O248" s="100">
        <f t="shared" si="28"/>
        <v>297.69783454561366</v>
      </c>
      <c r="P248" s="100">
        <f t="shared" si="28"/>
        <v>22.073812563067897</v>
      </c>
      <c r="Q248" s="100">
        <f t="shared" si="28"/>
        <v>0.30707450530854125</v>
      </c>
      <c r="R248" s="100">
        <f t="shared" si="28"/>
        <v>0</v>
      </c>
      <c r="S248" s="100">
        <f t="shared" si="28"/>
        <v>0</v>
      </c>
      <c r="T248" s="100">
        <f t="shared" si="28"/>
        <v>0</v>
      </c>
      <c r="U248" s="100">
        <f t="shared" si="28"/>
        <v>0</v>
      </c>
      <c r="V248" s="100">
        <f t="shared" si="28"/>
        <v>0</v>
      </c>
      <c r="W248" s="100">
        <f t="shared" si="28"/>
        <v>0</v>
      </c>
      <c r="X248" s="100">
        <f t="shared" si="28"/>
        <v>0</v>
      </c>
      <c r="Y248" s="100">
        <f t="shared" si="28"/>
        <v>0</v>
      </c>
      <c r="AQ248" s="3"/>
    </row>
    <row r="249" spans="5:43" x14ac:dyDescent="0.35">
      <c r="F249" s="28" t="s">
        <v>454</v>
      </c>
      <c r="G249" s="28" t="s">
        <v>207</v>
      </c>
      <c r="J249" s="121">
        <f t="shared" ref="J249:Y249" si="29">J242 + J247 + J248</f>
        <v>1243340.7641607483</v>
      </c>
      <c r="K249" s="121">
        <f t="shared" si="29"/>
        <v>146290.47824065451</v>
      </c>
      <c r="L249" s="121">
        <f t="shared" si="29"/>
        <v>541032.62300429156</v>
      </c>
      <c r="M249" s="121">
        <f t="shared" si="29"/>
        <v>8911.3295663483332</v>
      </c>
      <c r="N249" s="121">
        <f t="shared" si="29"/>
        <v>710097.98978704691</v>
      </c>
      <c r="O249" s="121">
        <f t="shared" si="29"/>
        <v>53325.906839994132</v>
      </c>
      <c r="P249" s="121">
        <f t="shared" si="29"/>
        <v>365809.35023276234</v>
      </c>
      <c r="Q249" s="121">
        <f t="shared" si="29"/>
        <v>29317.628247349428</v>
      </c>
      <c r="R249" s="121">
        <f t="shared" si="29"/>
        <v>3502.3381089269142</v>
      </c>
      <c r="S249" s="121">
        <f t="shared" si="29"/>
        <v>1.391</v>
      </c>
      <c r="T249" s="121">
        <f t="shared" si="29"/>
        <v>177224.06606561315</v>
      </c>
      <c r="U249" s="121">
        <f t="shared" si="29"/>
        <v>0</v>
      </c>
      <c r="V249" s="121">
        <f t="shared" si="29"/>
        <v>1487.9755864997869</v>
      </c>
      <c r="W249" s="121">
        <f t="shared" si="29"/>
        <v>0</v>
      </c>
      <c r="X249" s="121">
        <f t="shared" si="29"/>
        <v>712457.12239743408</v>
      </c>
      <c r="Y249" s="121">
        <f t="shared" si="29"/>
        <v>0</v>
      </c>
      <c r="AQ249" s="3"/>
    </row>
    <row r="250" spans="5:43" x14ac:dyDescent="0.35">
      <c r="E250" s="32"/>
      <c r="J250" s="89"/>
      <c r="K250" s="89"/>
      <c r="L250" s="89"/>
      <c r="M250" s="89"/>
      <c r="N250" s="89"/>
      <c r="O250" s="89"/>
      <c r="P250" s="89"/>
      <c r="Q250" s="89"/>
      <c r="R250" s="89"/>
      <c r="S250" s="89"/>
      <c r="T250" s="89"/>
      <c r="U250" s="89"/>
      <c r="V250" s="89"/>
      <c r="W250" s="89"/>
      <c r="X250" s="89"/>
      <c r="Y250" s="89"/>
      <c r="AQ250" s="3"/>
    </row>
    <row r="251" spans="5:43" x14ac:dyDescent="0.35">
      <c r="E251" s="32" t="s">
        <v>158</v>
      </c>
      <c r="I251" t="s">
        <v>154</v>
      </c>
      <c r="J251" s="89"/>
      <c r="K251" s="89"/>
      <c r="L251" s="89"/>
      <c r="M251" s="89"/>
      <c r="N251" s="89"/>
      <c r="O251" s="89"/>
      <c r="P251" s="89"/>
      <c r="Q251" s="89"/>
      <c r="R251" s="89"/>
      <c r="S251" s="89"/>
      <c r="T251" s="89"/>
      <c r="U251" s="89"/>
      <c r="V251" s="89"/>
      <c r="W251" s="89"/>
      <c r="X251" s="89"/>
      <c r="Y251" s="89"/>
      <c r="AA251" t="s">
        <v>309</v>
      </c>
      <c r="AQ251" s="3"/>
    </row>
    <row r="252" spans="5:43" x14ac:dyDescent="0.35">
      <c r="E252" s="32"/>
      <c r="J252" s="89"/>
      <c r="K252" s="89"/>
      <c r="L252" s="89"/>
      <c r="M252" s="89"/>
      <c r="N252" s="89"/>
      <c r="O252" s="89"/>
      <c r="P252" s="89"/>
      <c r="Q252" s="89"/>
      <c r="R252" s="89"/>
      <c r="S252" s="89"/>
      <c r="T252" s="89"/>
      <c r="U252" s="89"/>
      <c r="V252" s="89"/>
      <c r="W252" s="89"/>
      <c r="X252" s="89"/>
      <c r="Y252" s="89"/>
      <c r="AQ252" s="3"/>
    </row>
    <row r="253" spans="5:43" x14ac:dyDescent="0.35">
      <c r="F253" s="28" t="s">
        <v>447</v>
      </c>
      <c r="G253" s="28" t="s">
        <v>207</v>
      </c>
      <c r="J253" s="98">
        <f t="shared" ref="J253:Y253" si="30">J$201</f>
        <v>1012593.7290870433</v>
      </c>
      <c r="K253" s="98">
        <f t="shared" si="30"/>
        <v>211336.36964169086</v>
      </c>
      <c r="L253" s="98">
        <f t="shared" si="30"/>
        <v>362386.78176860919</v>
      </c>
      <c r="M253" s="98">
        <f t="shared" si="30"/>
        <v>14290.612390057293</v>
      </c>
      <c r="N253" s="98">
        <f t="shared" si="30"/>
        <v>564755.1630634889</v>
      </c>
      <c r="O253" s="98">
        <f t="shared" si="30"/>
        <v>51739.814306476903</v>
      </c>
      <c r="P253" s="98">
        <f t="shared" si="30"/>
        <v>339448.92234557553</v>
      </c>
      <c r="Q253" s="98">
        <f t="shared" si="30"/>
        <v>60911.812464155897</v>
      </c>
      <c r="R253" s="98">
        <f t="shared" si="30"/>
        <v>2112.3642325825435</v>
      </c>
      <c r="S253" s="98">
        <f t="shared" si="30"/>
        <v>0.64400000000000013</v>
      </c>
      <c r="T253" s="98">
        <f t="shared" si="30"/>
        <v>193113.18812858776</v>
      </c>
      <c r="U253" s="98">
        <f t="shared" si="30"/>
        <v>0</v>
      </c>
      <c r="V253" s="98">
        <f t="shared" si="30"/>
        <v>1570.8366193548386</v>
      </c>
      <c r="W253" s="98">
        <f t="shared" si="30"/>
        <v>0</v>
      </c>
      <c r="X253" s="98">
        <f t="shared" si="30"/>
        <v>746890.70756556396</v>
      </c>
      <c r="Y253" s="98">
        <f t="shared" si="30"/>
        <v>0</v>
      </c>
      <c r="AQ253" s="3"/>
    </row>
    <row r="254" spans="5:43" x14ac:dyDescent="0.35">
      <c r="F254" s="28" t="s">
        <v>448</v>
      </c>
      <c r="G254" s="28" t="s">
        <v>207</v>
      </c>
      <c r="J254" s="98">
        <f t="shared" ref="J254:Y254" si="31">J$210</f>
        <v>3226.095715157287</v>
      </c>
      <c r="K254" s="98">
        <f t="shared" si="31"/>
        <v>0</v>
      </c>
      <c r="L254" s="98">
        <f t="shared" si="31"/>
        <v>45.903451245295528</v>
      </c>
      <c r="M254" s="98">
        <f t="shared" si="31"/>
        <v>0</v>
      </c>
      <c r="N254" s="98">
        <f t="shared" si="31"/>
        <v>603.68964372686037</v>
      </c>
      <c r="O254" s="98">
        <f t="shared" si="31"/>
        <v>0</v>
      </c>
      <c r="P254" s="98">
        <f t="shared" si="31"/>
        <v>0</v>
      </c>
      <c r="Q254" s="98">
        <f t="shared" si="31"/>
        <v>49.511599999999994</v>
      </c>
      <c r="R254" s="98">
        <f t="shared" si="31"/>
        <v>0</v>
      </c>
      <c r="S254" s="98">
        <f t="shared" si="31"/>
        <v>0</v>
      </c>
      <c r="T254" s="98">
        <f t="shared" si="31"/>
        <v>0</v>
      </c>
      <c r="U254" s="98">
        <f t="shared" si="31"/>
        <v>0</v>
      </c>
      <c r="V254" s="98">
        <f t="shared" si="31"/>
        <v>0</v>
      </c>
      <c r="W254" s="98">
        <f t="shared" si="31"/>
        <v>0</v>
      </c>
      <c r="X254" s="98">
        <f t="shared" si="31"/>
        <v>0</v>
      </c>
      <c r="Y254" s="98">
        <f t="shared" si="31"/>
        <v>0</v>
      </c>
      <c r="AQ254" s="3"/>
    </row>
    <row r="255" spans="5:43" x14ac:dyDescent="0.35">
      <c r="F255" s="28" t="s">
        <v>449</v>
      </c>
      <c r="G255" s="28" t="s">
        <v>207</v>
      </c>
      <c r="J255" s="98">
        <f t="shared" ref="J255:Y255" si="32">J$219</f>
        <v>7996.9438121945923</v>
      </c>
      <c r="K255" s="98">
        <f t="shared" si="32"/>
        <v>0</v>
      </c>
      <c r="L255" s="98">
        <f t="shared" si="32"/>
        <v>408.86267869503791</v>
      </c>
      <c r="M255" s="98">
        <f t="shared" si="32"/>
        <v>0</v>
      </c>
      <c r="N255" s="98">
        <f t="shared" si="32"/>
        <v>3793.8037354275775</v>
      </c>
      <c r="O255" s="98">
        <f t="shared" si="32"/>
        <v>484.42753782301821</v>
      </c>
      <c r="P255" s="98">
        <f t="shared" si="32"/>
        <v>22.902476669561068</v>
      </c>
      <c r="Q255" s="98">
        <f t="shared" si="32"/>
        <v>0.37541935483870986</v>
      </c>
      <c r="R255" s="98">
        <f t="shared" si="32"/>
        <v>0</v>
      </c>
      <c r="S255" s="98">
        <f t="shared" si="32"/>
        <v>0</v>
      </c>
      <c r="T255" s="98">
        <f t="shared" si="32"/>
        <v>0</v>
      </c>
      <c r="U255" s="98">
        <f t="shared" si="32"/>
        <v>0</v>
      </c>
      <c r="V255" s="98">
        <f t="shared" si="32"/>
        <v>0</v>
      </c>
      <c r="W255" s="98">
        <f t="shared" si="32"/>
        <v>0</v>
      </c>
      <c r="X255" s="98">
        <f t="shared" si="32"/>
        <v>0</v>
      </c>
      <c r="Y255" s="98">
        <f t="shared" si="32"/>
        <v>0</v>
      </c>
      <c r="AQ255" s="3"/>
    </row>
    <row r="256" spans="5:43" x14ac:dyDescent="0.35">
      <c r="F256" s="28" t="s">
        <v>450</v>
      </c>
      <c r="G256" s="28" t="s">
        <v>167</v>
      </c>
      <c r="J256" s="385">
        <f t="shared" ref="J256:Y256" si="33">IF(J$39, J$45, J$34)</f>
        <v>0.29370961868251882</v>
      </c>
      <c r="K256" s="385">
        <f t="shared" si="33"/>
        <v>0.29370961868251882</v>
      </c>
      <c r="L256" s="385">
        <f t="shared" si="33"/>
        <v>0.29370961868251882</v>
      </c>
      <c r="M256" s="385">
        <f t="shared" si="33"/>
        <v>0.29370961868251882</v>
      </c>
      <c r="N256" s="385">
        <f t="shared" si="33"/>
        <v>0.29370961868251882</v>
      </c>
      <c r="O256" s="385">
        <f t="shared" si="33"/>
        <v>0</v>
      </c>
      <c r="P256" s="385">
        <f t="shared" si="33"/>
        <v>0</v>
      </c>
      <c r="Q256" s="385">
        <f t="shared" si="33"/>
        <v>0.29370961868251882</v>
      </c>
      <c r="R256" s="385">
        <f t="shared" si="33"/>
        <v>0</v>
      </c>
      <c r="S256" s="385">
        <f t="shared" si="33"/>
        <v>0</v>
      </c>
      <c r="T256" s="385">
        <f t="shared" si="33"/>
        <v>0</v>
      </c>
      <c r="U256" s="385">
        <f t="shared" si="33"/>
        <v>0</v>
      </c>
      <c r="V256" s="385">
        <f t="shared" si="33"/>
        <v>0</v>
      </c>
      <c r="W256" s="385">
        <f t="shared" si="33"/>
        <v>0</v>
      </c>
      <c r="X256" s="385">
        <f t="shared" si="33"/>
        <v>0</v>
      </c>
      <c r="Y256" s="385">
        <f t="shared" si="33"/>
        <v>0</v>
      </c>
      <c r="AQ256" s="3"/>
    </row>
    <row r="257" spans="5:43" x14ac:dyDescent="0.35">
      <c r="F257" s="28" t="s">
        <v>451</v>
      </c>
      <c r="G257" s="28" t="s">
        <v>167</v>
      </c>
      <c r="J257" s="385">
        <f t="shared" ref="J257:Y257" si="34">IF(J$39, J$45, J$35)</f>
        <v>0.53256520183821399</v>
      </c>
      <c r="K257" s="385">
        <f t="shared" si="34"/>
        <v>0.53256520183821399</v>
      </c>
      <c r="L257" s="385">
        <f t="shared" si="34"/>
        <v>0.53256520183821399</v>
      </c>
      <c r="M257" s="385">
        <f t="shared" si="34"/>
        <v>0.53256520183821399</v>
      </c>
      <c r="N257" s="385">
        <f t="shared" si="34"/>
        <v>0.53256520183821399</v>
      </c>
      <c r="O257" s="385">
        <f t="shared" si="34"/>
        <v>0.32519003293204285</v>
      </c>
      <c r="P257" s="385">
        <f t="shared" si="34"/>
        <v>0.26241459087249852</v>
      </c>
      <c r="Q257" s="385">
        <f t="shared" si="34"/>
        <v>0.53256520183821399</v>
      </c>
      <c r="R257" s="385">
        <f t="shared" si="34"/>
        <v>0</v>
      </c>
      <c r="S257" s="385">
        <f t="shared" si="34"/>
        <v>0</v>
      </c>
      <c r="T257" s="385">
        <f t="shared" si="34"/>
        <v>0</v>
      </c>
      <c r="U257" s="385">
        <f t="shared" si="34"/>
        <v>0</v>
      </c>
      <c r="V257" s="385">
        <f t="shared" si="34"/>
        <v>0</v>
      </c>
      <c r="W257" s="385">
        <f t="shared" si="34"/>
        <v>0</v>
      </c>
      <c r="X257" s="385">
        <f t="shared" si="34"/>
        <v>0</v>
      </c>
      <c r="Y257" s="385">
        <f t="shared" si="34"/>
        <v>0</v>
      </c>
      <c r="AQ257" s="3"/>
    </row>
    <row r="258" spans="5:43" x14ac:dyDescent="0.35">
      <c r="F258" s="28" t="s">
        <v>452</v>
      </c>
      <c r="G258" s="28" t="s">
        <v>207</v>
      </c>
      <c r="J258" s="98">
        <f t="shared" ref="J258:Y258" si="35">J254 * (1 - J256)</f>
        <v>2278.5603728251326</v>
      </c>
      <c r="K258" s="98">
        <f t="shared" si="35"/>
        <v>0</v>
      </c>
      <c r="L258" s="98">
        <f t="shared" si="35"/>
        <v>32.42116608382819</v>
      </c>
      <c r="M258" s="98">
        <f t="shared" si="35"/>
        <v>0</v>
      </c>
      <c r="N258" s="98">
        <f t="shared" si="35"/>
        <v>426.38018866525857</v>
      </c>
      <c r="O258" s="98">
        <f t="shared" si="35"/>
        <v>0</v>
      </c>
      <c r="P258" s="98">
        <f t="shared" si="35"/>
        <v>0</v>
      </c>
      <c r="Q258" s="98">
        <f t="shared" si="35"/>
        <v>34.969566843638603</v>
      </c>
      <c r="R258" s="98">
        <f t="shared" si="35"/>
        <v>0</v>
      </c>
      <c r="S258" s="98">
        <f t="shared" si="35"/>
        <v>0</v>
      </c>
      <c r="T258" s="98">
        <f t="shared" si="35"/>
        <v>0</v>
      </c>
      <c r="U258" s="98">
        <f t="shared" si="35"/>
        <v>0</v>
      </c>
      <c r="V258" s="98">
        <f t="shared" si="35"/>
        <v>0</v>
      </c>
      <c r="W258" s="98">
        <f t="shared" si="35"/>
        <v>0</v>
      </c>
      <c r="X258" s="98">
        <f t="shared" si="35"/>
        <v>0</v>
      </c>
      <c r="Y258" s="98">
        <f t="shared" si="35"/>
        <v>0</v>
      </c>
      <c r="AQ258" s="3"/>
    </row>
    <row r="259" spans="5:43" x14ac:dyDescent="0.35">
      <c r="F259" s="67" t="s">
        <v>453</v>
      </c>
      <c r="G259" s="67" t="s">
        <v>207</v>
      </c>
      <c r="H259" s="37"/>
      <c r="I259" s="37"/>
      <c r="J259" s="100">
        <f t="shared" ref="J259:Y259" si="36">J255 * (1 - J257)</f>
        <v>3738.0498167643227</v>
      </c>
      <c r="K259" s="100">
        <f t="shared" si="36"/>
        <v>0</v>
      </c>
      <c r="L259" s="100">
        <f t="shared" si="36"/>
        <v>191.11664369170222</v>
      </c>
      <c r="M259" s="100">
        <f t="shared" si="36"/>
        <v>0</v>
      </c>
      <c r="N259" s="100">
        <f t="shared" si="36"/>
        <v>1773.3558833350196</v>
      </c>
      <c r="O259" s="100">
        <f t="shared" si="36"/>
        <v>326.89653084516249</v>
      </c>
      <c r="P259" s="100">
        <f t="shared" si="36"/>
        <v>16.892532624351258</v>
      </c>
      <c r="Q259" s="100">
        <f t="shared" si="36"/>
        <v>0.17548407035506028</v>
      </c>
      <c r="R259" s="100">
        <f t="shared" si="36"/>
        <v>0</v>
      </c>
      <c r="S259" s="100">
        <f t="shared" si="36"/>
        <v>0</v>
      </c>
      <c r="T259" s="100">
        <f t="shared" si="36"/>
        <v>0</v>
      </c>
      <c r="U259" s="100">
        <f t="shared" si="36"/>
        <v>0</v>
      </c>
      <c r="V259" s="100">
        <f t="shared" si="36"/>
        <v>0</v>
      </c>
      <c r="W259" s="100">
        <f t="shared" si="36"/>
        <v>0</v>
      </c>
      <c r="X259" s="100">
        <f t="shared" si="36"/>
        <v>0</v>
      </c>
      <c r="Y259" s="100">
        <f t="shared" si="36"/>
        <v>0</v>
      </c>
      <c r="AQ259" s="3"/>
    </row>
    <row r="260" spans="5:43" x14ac:dyDescent="0.35">
      <c r="F260" s="28" t="s">
        <v>454</v>
      </c>
      <c r="G260" s="28" t="s">
        <v>207</v>
      </c>
      <c r="J260" s="121">
        <f t="shared" ref="J260:Y260" si="37">J253 + J258 + J259</f>
        <v>1018610.3392766328</v>
      </c>
      <c r="K260" s="121">
        <f t="shared" si="37"/>
        <v>211336.36964169086</v>
      </c>
      <c r="L260" s="121">
        <f t="shared" si="37"/>
        <v>362610.31957838475</v>
      </c>
      <c r="M260" s="121">
        <f t="shared" si="37"/>
        <v>14290.612390057293</v>
      </c>
      <c r="N260" s="121">
        <f t="shared" si="37"/>
        <v>566954.89913548913</v>
      </c>
      <c r="O260" s="121">
        <f t="shared" si="37"/>
        <v>52066.710837322069</v>
      </c>
      <c r="P260" s="121">
        <f t="shared" si="37"/>
        <v>339465.81487819989</v>
      </c>
      <c r="Q260" s="121">
        <f t="shared" si="37"/>
        <v>60946.957515069895</v>
      </c>
      <c r="R260" s="121">
        <f t="shared" si="37"/>
        <v>2112.3642325825435</v>
      </c>
      <c r="S260" s="121">
        <f t="shared" si="37"/>
        <v>0.64400000000000013</v>
      </c>
      <c r="T260" s="121">
        <f t="shared" si="37"/>
        <v>193113.18812858776</v>
      </c>
      <c r="U260" s="121">
        <f t="shared" si="37"/>
        <v>0</v>
      </c>
      <c r="V260" s="121">
        <f t="shared" si="37"/>
        <v>1570.8366193548386</v>
      </c>
      <c r="W260" s="121">
        <f t="shared" si="37"/>
        <v>0</v>
      </c>
      <c r="X260" s="121">
        <f t="shared" si="37"/>
        <v>746890.70756556396</v>
      </c>
      <c r="Y260" s="121">
        <f t="shared" si="37"/>
        <v>0</v>
      </c>
      <c r="AQ260" s="3"/>
    </row>
    <row r="261" spans="5:43" x14ac:dyDescent="0.35">
      <c r="E261" s="32"/>
      <c r="J261" s="89"/>
      <c r="K261" s="89"/>
      <c r="L261" s="89"/>
      <c r="M261" s="89"/>
      <c r="N261" s="89"/>
      <c r="O261" s="89"/>
      <c r="P261" s="89"/>
      <c r="Q261" s="89"/>
      <c r="R261" s="89"/>
      <c r="S261" s="89"/>
      <c r="T261" s="89"/>
      <c r="U261" s="89"/>
      <c r="V261" s="89"/>
      <c r="W261" s="89"/>
      <c r="X261" s="89"/>
      <c r="Y261" s="89"/>
      <c r="AQ261" s="3"/>
    </row>
    <row r="262" spans="5:43" x14ac:dyDescent="0.35">
      <c r="E262" s="32" t="s">
        <v>455</v>
      </c>
      <c r="I262" t="s">
        <v>154</v>
      </c>
      <c r="J262" s="89"/>
      <c r="K262" s="89"/>
      <c r="L262" s="89"/>
      <c r="M262" s="89"/>
      <c r="N262" s="89"/>
      <c r="O262" s="89"/>
      <c r="P262" s="89"/>
      <c r="Q262" s="89"/>
      <c r="R262" s="89"/>
      <c r="S262" s="89"/>
      <c r="T262" s="89"/>
      <c r="U262" s="89"/>
      <c r="V262" s="89"/>
      <c r="W262" s="89"/>
      <c r="X262" s="89"/>
      <c r="Y262" s="89"/>
      <c r="AQ262" s="3"/>
    </row>
    <row r="263" spans="5:43" x14ac:dyDescent="0.35">
      <c r="E263" s="32"/>
      <c r="J263" s="89"/>
      <c r="K263" s="89"/>
      <c r="L263" s="89"/>
      <c r="M263" s="89"/>
      <c r="N263" s="89"/>
      <c r="O263" s="89"/>
      <c r="P263" s="89"/>
      <c r="Q263" s="89"/>
      <c r="R263" s="89"/>
      <c r="S263" s="89"/>
      <c r="T263" s="89"/>
      <c r="U263" s="89"/>
      <c r="V263" s="89"/>
      <c r="W263" s="89"/>
      <c r="X263" s="89"/>
      <c r="Y263" s="89"/>
      <c r="AQ263" s="3"/>
    </row>
    <row r="264" spans="5:43" x14ac:dyDescent="0.35">
      <c r="F264" s="28" t="s">
        <v>454</v>
      </c>
      <c r="G264" s="28" t="s">
        <v>207</v>
      </c>
      <c r="J264" s="98">
        <f t="shared" ref="J264:Y264" si="38">J260 + J249 + J238</f>
        <v>2586421.4866675828</v>
      </c>
      <c r="K264" s="98">
        <f t="shared" si="38"/>
        <v>367023.01289185032</v>
      </c>
      <c r="L264" s="98">
        <f t="shared" si="38"/>
        <v>1007581.0799788579</v>
      </c>
      <c r="M264" s="98">
        <f t="shared" si="38"/>
        <v>23656.846153411865</v>
      </c>
      <c r="N264" s="98">
        <f t="shared" si="38"/>
        <v>1418788.7869828644</v>
      </c>
      <c r="O264" s="98">
        <f t="shared" si="38"/>
        <v>116691.8568366808</v>
      </c>
      <c r="P264" s="98">
        <f t="shared" si="38"/>
        <v>779360.83753175882</v>
      </c>
      <c r="Q264" s="98">
        <f t="shared" si="38"/>
        <v>96289.216654613818</v>
      </c>
      <c r="R264" s="98">
        <f t="shared" si="38"/>
        <v>6265.4870185122818</v>
      </c>
      <c r="S264" s="98">
        <f t="shared" si="38"/>
        <v>2.234</v>
      </c>
      <c r="T264" s="98">
        <f t="shared" si="38"/>
        <v>407365.85243976471</v>
      </c>
      <c r="U264" s="98">
        <f t="shared" si="38"/>
        <v>0</v>
      </c>
      <c r="V264" s="98">
        <f t="shared" si="38"/>
        <v>3382.9138800481737</v>
      </c>
      <c r="W264" s="98">
        <f t="shared" si="38"/>
        <v>0</v>
      </c>
      <c r="X264" s="98">
        <f t="shared" si="38"/>
        <v>1625812.3317754827</v>
      </c>
      <c r="Y264" s="98">
        <f t="shared" si="38"/>
        <v>0</v>
      </c>
      <c r="AQ264" s="3"/>
    </row>
    <row r="265" spans="5:43" x14ac:dyDescent="0.35">
      <c r="E265" s="32"/>
      <c r="J265" s="89"/>
      <c r="K265" s="89"/>
      <c r="L265" s="89"/>
      <c r="M265" s="89"/>
      <c r="N265" s="89"/>
      <c r="O265" s="89"/>
      <c r="P265" s="89"/>
      <c r="Q265" s="89"/>
      <c r="R265" s="89"/>
      <c r="S265" s="89"/>
      <c r="T265" s="89"/>
      <c r="U265" s="89"/>
      <c r="V265" s="89"/>
      <c r="W265" s="89"/>
      <c r="X265" s="89"/>
      <c r="Y265" s="89"/>
      <c r="AQ265" s="3"/>
    </row>
    <row r="266" spans="5:43" x14ac:dyDescent="0.35">
      <c r="E266" s="32" t="s">
        <v>212</v>
      </c>
      <c r="I266" t="s">
        <v>154</v>
      </c>
      <c r="J266" s="89"/>
      <c r="K266" s="89"/>
      <c r="L266" s="89"/>
      <c r="M266" s="89"/>
      <c r="N266" s="89"/>
      <c r="O266" s="89"/>
      <c r="P266" s="89"/>
      <c r="Q266" s="89"/>
      <c r="R266" s="89"/>
      <c r="S266" s="89"/>
      <c r="T266" s="89"/>
      <c r="U266" s="89"/>
      <c r="V266" s="89"/>
      <c r="W266" s="89"/>
      <c r="X266" s="89"/>
      <c r="Y266" s="89"/>
      <c r="AA266" t="s">
        <v>309</v>
      </c>
      <c r="AQ266" s="3"/>
    </row>
    <row r="267" spans="5:43" x14ac:dyDescent="0.35">
      <c r="E267" s="32"/>
      <c r="J267" s="89"/>
      <c r="K267" s="89"/>
      <c r="L267" s="89"/>
      <c r="M267" s="89"/>
      <c r="N267" s="89"/>
      <c r="O267" s="89"/>
      <c r="P267" s="89"/>
      <c r="Q267" s="89"/>
      <c r="R267" s="89"/>
      <c r="S267" s="89"/>
      <c r="T267" s="89"/>
      <c r="U267" s="89"/>
      <c r="V267" s="89"/>
      <c r="W267" s="89"/>
      <c r="X267" s="89"/>
      <c r="Y267" s="89"/>
      <c r="AQ267" s="3"/>
    </row>
    <row r="268" spans="5:43" x14ac:dyDescent="0.35">
      <c r="F268" s="28" t="s">
        <v>447</v>
      </c>
      <c r="G268" s="28" t="s">
        <v>212</v>
      </c>
      <c r="J268" s="98">
        <f t="shared" ref="J268:Y268" si="39">J202</f>
        <v>706592.44030903245</v>
      </c>
      <c r="K268" s="98">
        <f t="shared" si="39"/>
        <v>72371.122331145176</v>
      </c>
      <c r="L268" s="98">
        <f t="shared" si="39"/>
        <v>74730.220086894915</v>
      </c>
      <c r="M268" s="98">
        <f t="shared" si="39"/>
        <v>2436.905804440873</v>
      </c>
      <c r="N268" s="98">
        <f t="shared" si="39"/>
        <v>6768.4494706472788</v>
      </c>
      <c r="O268" s="98">
        <f t="shared" si="39"/>
        <v>120.2167744036007</v>
      </c>
      <c r="P268" s="98">
        <f t="shared" si="39"/>
        <v>697.25806451612891</v>
      </c>
      <c r="Q268" s="98">
        <f t="shared" si="39"/>
        <v>1886.5806451612905</v>
      </c>
      <c r="R268" s="98">
        <f t="shared" si="39"/>
        <v>376.80645161290334</v>
      </c>
      <c r="S268" s="98">
        <f t="shared" si="39"/>
        <v>1</v>
      </c>
      <c r="T268" s="98">
        <f t="shared" si="39"/>
        <v>812.9295222209638</v>
      </c>
      <c r="U268" s="98">
        <f t="shared" si="39"/>
        <v>0</v>
      </c>
      <c r="V268" s="98">
        <f t="shared" si="39"/>
        <v>2</v>
      </c>
      <c r="W268" s="98">
        <f t="shared" si="39"/>
        <v>0</v>
      </c>
      <c r="X268" s="98">
        <f t="shared" si="39"/>
        <v>348.45161290322585</v>
      </c>
      <c r="Y268" s="98">
        <f t="shared" si="39"/>
        <v>0</v>
      </c>
      <c r="AQ268" s="3"/>
    </row>
    <row r="269" spans="5:43" x14ac:dyDescent="0.35">
      <c r="F269" s="28" t="s">
        <v>448</v>
      </c>
      <c r="G269" s="28" t="s">
        <v>212</v>
      </c>
      <c r="J269" s="98">
        <f t="shared" ref="J269:Y269" si="40">J211</f>
        <v>3073.516129032258</v>
      </c>
      <c r="K269" s="98">
        <f t="shared" si="40"/>
        <v>0</v>
      </c>
      <c r="L269" s="98">
        <f t="shared" si="40"/>
        <v>16.838709677419356</v>
      </c>
      <c r="M269" s="98">
        <f t="shared" si="40"/>
        <v>0</v>
      </c>
      <c r="N269" s="98">
        <f t="shared" si="40"/>
        <v>10</v>
      </c>
      <c r="O269" s="98">
        <f t="shared" si="40"/>
        <v>0</v>
      </c>
      <c r="P269" s="98">
        <f t="shared" si="40"/>
        <v>0</v>
      </c>
      <c r="Q269" s="98">
        <f t="shared" si="40"/>
        <v>2</v>
      </c>
      <c r="R269" s="98">
        <f t="shared" si="40"/>
        <v>0</v>
      </c>
      <c r="S269" s="98">
        <f t="shared" si="40"/>
        <v>0</v>
      </c>
      <c r="T269" s="98">
        <f t="shared" si="40"/>
        <v>0</v>
      </c>
      <c r="U269" s="98">
        <f t="shared" si="40"/>
        <v>0</v>
      </c>
      <c r="V269" s="98">
        <f t="shared" si="40"/>
        <v>0</v>
      </c>
      <c r="W269" s="98">
        <f t="shared" si="40"/>
        <v>0</v>
      </c>
      <c r="X269" s="98">
        <f t="shared" si="40"/>
        <v>0</v>
      </c>
      <c r="Y269" s="98">
        <f t="shared" si="40"/>
        <v>0</v>
      </c>
      <c r="AQ269" s="3"/>
    </row>
    <row r="270" spans="5:43" x14ac:dyDescent="0.35">
      <c r="F270" s="28" t="s">
        <v>449</v>
      </c>
      <c r="G270" s="28" t="s">
        <v>212</v>
      </c>
      <c r="J270" s="98">
        <f t="shared" ref="J270:Y270" si="41">J220</f>
        <v>7619.4875686369887</v>
      </c>
      <c r="K270" s="98">
        <f t="shared" si="41"/>
        <v>0</v>
      </c>
      <c r="L270" s="98">
        <f t="shared" si="41"/>
        <v>80.943133966835845</v>
      </c>
      <c r="M270" s="98">
        <f t="shared" si="41"/>
        <v>0</v>
      </c>
      <c r="N270" s="98">
        <f t="shared" si="41"/>
        <v>13.125087437722472</v>
      </c>
      <c r="O270" s="98">
        <f t="shared" si="41"/>
        <v>2</v>
      </c>
      <c r="P270" s="98">
        <f t="shared" si="41"/>
        <v>1</v>
      </c>
      <c r="Q270" s="98">
        <f t="shared" si="41"/>
        <v>3.7419354838709675</v>
      </c>
      <c r="R270" s="98">
        <f t="shared" si="41"/>
        <v>0</v>
      </c>
      <c r="S270" s="98">
        <f t="shared" si="41"/>
        <v>0</v>
      </c>
      <c r="T270" s="98">
        <f t="shared" si="41"/>
        <v>0</v>
      </c>
      <c r="U270" s="98">
        <f t="shared" si="41"/>
        <v>0</v>
      </c>
      <c r="V270" s="98">
        <f t="shared" si="41"/>
        <v>0</v>
      </c>
      <c r="W270" s="98">
        <f t="shared" si="41"/>
        <v>0</v>
      </c>
      <c r="X270" s="98">
        <f t="shared" si="41"/>
        <v>0</v>
      </c>
      <c r="Y270" s="98">
        <f t="shared" si="41"/>
        <v>0</v>
      </c>
      <c r="AQ270" s="3"/>
    </row>
    <row r="271" spans="5:43" x14ac:dyDescent="0.35">
      <c r="F271" s="28" t="s">
        <v>450</v>
      </c>
      <c r="G271" s="28" t="s">
        <v>167</v>
      </c>
      <c r="J271" s="385">
        <f t="shared" ref="J271:Y271" si="42">IF(J$40, J$46, J$34)</f>
        <v>0.29370961868251882</v>
      </c>
      <c r="K271" s="385">
        <f t="shared" si="42"/>
        <v>0.29370961868251882</v>
      </c>
      <c r="L271" s="385">
        <f t="shared" si="42"/>
        <v>0.29370961868251882</v>
      </c>
      <c r="M271" s="385">
        <f t="shared" si="42"/>
        <v>0.29370961868251882</v>
      </c>
      <c r="N271" s="385">
        <f t="shared" si="42"/>
        <v>0.29370961868251882</v>
      </c>
      <c r="O271" s="385">
        <f t="shared" si="42"/>
        <v>0</v>
      </c>
      <c r="P271" s="385">
        <f t="shared" si="42"/>
        <v>0</v>
      </c>
      <c r="Q271" s="385">
        <f t="shared" si="42"/>
        <v>0.29370961868251882</v>
      </c>
      <c r="R271" s="385">
        <f t="shared" si="42"/>
        <v>1</v>
      </c>
      <c r="S271" s="385">
        <f t="shared" si="42"/>
        <v>1</v>
      </c>
      <c r="T271" s="385">
        <f t="shared" si="42"/>
        <v>1</v>
      </c>
      <c r="U271" s="385">
        <f t="shared" si="42"/>
        <v>1</v>
      </c>
      <c r="V271" s="385">
        <f t="shared" si="42"/>
        <v>1</v>
      </c>
      <c r="W271" s="385">
        <f t="shared" si="42"/>
        <v>1</v>
      </c>
      <c r="X271" s="385">
        <f t="shared" si="42"/>
        <v>1</v>
      </c>
      <c r="Y271" s="385">
        <f t="shared" si="42"/>
        <v>1</v>
      </c>
      <c r="AQ271" s="3"/>
    </row>
    <row r="272" spans="5:43" x14ac:dyDescent="0.35">
      <c r="F272" s="28" t="s">
        <v>451</v>
      </c>
      <c r="G272" s="28" t="s">
        <v>167</v>
      </c>
      <c r="J272" s="385">
        <f t="shared" ref="J272:Y272" si="43">IF(J$40, J$46, J$35)</f>
        <v>0.53256520183821399</v>
      </c>
      <c r="K272" s="385">
        <f t="shared" si="43"/>
        <v>0.53256520183821399</v>
      </c>
      <c r="L272" s="385">
        <f t="shared" si="43"/>
        <v>0.53256520183821399</v>
      </c>
      <c r="M272" s="385">
        <f t="shared" si="43"/>
        <v>0.53256520183821399</v>
      </c>
      <c r="N272" s="385">
        <f t="shared" si="43"/>
        <v>0.53256520183821399</v>
      </c>
      <c r="O272" s="385">
        <f t="shared" si="43"/>
        <v>0.32519003293204285</v>
      </c>
      <c r="P272" s="385">
        <f t="shared" si="43"/>
        <v>0.26241459087249852</v>
      </c>
      <c r="Q272" s="385">
        <f t="shared" si="43"/>
        <v>0.53256520183821399</v>
      </c>
      <c r="R272" s="385">
        <f t="shared" si="43"/>
        <v>1</v>
      </c>
      <c r="S272" s="385">
        <f t="shared" si="43"/>
        <v>1</v>
      </c>
      <c r="T272" s="385">
        <f t="shared" si="43"/>
        <v>1</v>
      </c>
      <c r="U272" s="385">
        <f t="shared" si="43"/>
        <v>1</v>
      </c>
      <c r="V272" s="385">
        <f t="shared" si="43"/>
        <v>1</v>
      </c>
      <c r="W272" s="385">
        <f t="shared" si="43"/>
        <v>1</v>
      </c>
      <c r="X272" s="385">
        <f t="shared" si="43"/>
        <v>1</v>
      </c>
      <c r="Y272" s="385">
        <f t="shared" si="43"/>
        <v>1</v>
      </c>
      <c r="AQ272" s="3"/>
    </row>
    <row r="273" spans="5:43" x14ac:dyDescent="0.35">
      <c r="F273" s="28" t="s">
        <v>452</v>
      </c>
      <c r="G273" s="28" t="s">
        <v>212</v>
      </c>
      <c r="J273" s="98">
        <f t="shared" ref="J273:Y273" si="44">J269 * (1 - J271)</f>
        <v>2170.7948787596224</v>
      </c>
      <c r="K273" s="98">
        <f t="shared" si="44"/>
        <v>0</v>
      </c>
      <c r="L273" s="98">
        <f t="shared" si="44"/>
        <v>11.893018678958878</v>
      </c>
      <c r="M273" s="98">
        <f t="shared" si="44"/>
        <v>0</v>
      </c>
      <c r="N273" s="98">
        <f t="shared" si="44"/>
        <v>7.0629038131748123</v>
      </c>
      <c r="O273" s="98">
        <f t="shared" si="44"/>
        <v>0</v>
      </c>
      <c r="P273" s="98">
        <f t="shared" si="44"/>
        <v>0</v>
      </c>
      <c r="Q273" s="98">
        <f t="shared" si="44"/>
        <v>1.4125807626349625</v>
      </c>
      <c r="R273" s="98">
        <f t="shared" si="44"/>
        <v>0</v>
      </c>
      <c r="S273" s="98">
        <f t="shared" si="44"/>
        <v>0</v>
      </c>
      <c r="T273" s="98">
        <f t="shared" si="44"/>
        <v>0</v>
      </c>
      <c r="U273" s="98">
        <f t="shared" si="44"/>
        <v>0</v>
      </c>
      <c r="V273" s="98">
        <f t="shared" si="44"/>
        <v>0</v>
      </c>
      <c r="W273" s="98">
        <f t="shared" si="44"/>
        <v>0</v>
      </c>
      <c r="X273" s="98">
        <f t="shared" si="44"/>
        <v>0</v>
      </c>
      <c r="Y273" s="98">
        <f t="shared" si="44"/>
        <v>0</v>
      </c>
      <c r="AQ273" s="3"/>
    </row>
    <row r="274" spans="5:43" x14ac:dyDescent="0.35">
      <c r="F274" s="67" t="s">
        <v>453</v>
      </c>
      <c r="G274" s="67" t="s">
        <v>212</v>
      </c>
      <c r="H274" s="37"/>
      <c r="I274" s="37"/>
      <c r="J274" s="100">
        <f t="shared" ref="J274:Y274" si="45">J270 * (1 - J272)</f>
        <v>3561.6136337420685</v>
      </c>
      <c r="K274" s="100">
        <f t="shared" si="45"/>
        <v>0</v>
      </c>
      <c r="L274" s="100">
        <f t="shared" si="45"/>
        <v>37.835637488370317</v>
      </c>
      <c r="M274" s="100">
        <f t="shared" si="45"/>
        <v>0</v>
      </c>
      <c r="N274" s="100">
        <f t="shared" si="45"/>
        <v>6.1351225973075971</v>
      </c>
      <c r="O274" s="100">
        <f t="shared" si="45"/>
        <v>1.3496199341359143</v>
      </c>
      <c r="P274" s="100">
        <f t="shared" si="45"/>
        <v>0.73758540912750148</v>
      </c>
      <c r="Q274" s="100">
        <f t="shared" si="45"/>
        <v>1.7491108576376508</v>
      </c>
      <c r="R274" s="100">
        <f t="shared" si="45"/>
        <v>0</v>
      </c>
      <c r="S274" s="100">
        <f t="shared" si="45"/>
        <v>0</v>
      </c>
      <c r="T274" s="100">
        <f t="shared" si="45"/>
        <v>0</v>
      </c>
      <c r="U274" s="100">
        <f t="shared" si="45"/>
        <v>0</v>
      </c>
      <c r="V274" s="100">
        <f t="shared" si="45"/>
        <v>0</v>
      </c>
      <c r="W274" s="100">
        <f t="shared" si="45"/>
        <v>0</v>
      </c>
      <c r="X274" s="100">
        <f t="shared" si="45"/>
        <v>0</v>
      </c>
      <c r="Y274" s="100">
        <f t="shared" si="45"/>
        <v>0</v>
      </c>
      <c r="AQ274" s="3"/>
    </row>
    <row r="275" spans="5:43" x14ac:dyDescent="0.35">
      <c r="F275" s="28" t="s">
        <v>454</v>
      </c>
      <c r="G275" s="28" t="s">
        <v>212</v>
      </c>
      <c r="J275" s="121">
        <f t="shared" ref="J275:Y275" si="46">J268 + J273 + J274</f>
        <v>712324.84882153419</v>
      </c>
      <c r="K275" s="121">
        <f t="shared" si="46"/>
        <v>72371.122331145176</v>
      </c>
      <c r="L275" s="121">
        <f t="shared" si="46"/>
        <v>74779.948743062254</v>
      </c>
      <c r="M275" s="121">
        <f t="shared" si="46"/>
        <v>2436.905804440873</v>
      </c>
      <c r="N275" s="121">
        <f t="shared" si="46"/>
        <v>6781.647497057761</v>
      </c>
      <c r="O275" s="121">
        <f t="shared" si="46"/>
        <v>121.56639433773661</v>
      </c>
      <c r="P275" s="121">
        <f t="shared" si="46"/>
        <v>697.99564992525643</v>
      </c>
      <c r="Q275" s="121">
        <f t="shared" si="46"/>
        <v>1889.7423367815629</v>
      </c>
      <c r="R275" s="121">
        <f t="shared" si="46"/>
        <v>376.80645161290334</v>
      </c>
      <c r="S275" s="121">
        <f t="shared" si="46"/>
        <v>1</v>
      </c>
      <c r="T275" s="121">
        <f t="shared" si="46"/>
        <v>812.9295222209638</v>
      </c>
      <c r="U275" s="121">
        <f t="shared" si="46"/>
        <v>0</v>
      </c>
      <c r="V275" s="121">
        <f t="shared" si="46"/>
        <v>2</v>
      </c>
      <c r="W275" s="121">
        <f t="shared" si="46"/>
        <v>0</v>
      </c>
      <c r="X275" s="121">
        <f t="shared" si="46"/>
        <v>348.45161290322585</v>
      </c>
      <c r="Y275" s="121">
        <f t="shared" si="46"/>
        <v>0</v>
      </c>
      <c r="AQ275" s="3"/>
    </row>
    <row r="276" spans="5:43" x14ac:dyDescent="0.35">
      <c r="E276" s="32"/>
      <c r="J276" s="89"/>
      <c r="K276" s="89"/>
      <c r="L276" s="89"/>
      <c r="M276" s="89"/>
      <c r="N276" s="89"/>
      <c r="O276" s="89"/>
      <c r="P276" s="89"/>
      <c r="Q276" s="89"/>
      <c r="R276" s="89"/>
      <c r="S276" s="89"/>
      <c r="T276" s="89"/>
      <c r="U276" s="89"/>
      <c r="V276" s="89"/>
      <c r="W276" s="89"/>
      <c r="X276" s="89"/>
      <c r="Y276" s="89"/>
      <c r="AQ276" s="3"/>
    </row>
    <row r="277" spans="5:43" x14ac:dyDescent="0.35">
      <c r="E277" s="32" t="s">
        <v>250</v>
      </c>
      <c r="I277" t="s">
        <v>154</v>
      </c>
      <c r="J277" s="89"/>
      <c r="K277" s="89"/>
      <c r="L277" s="89"/>
      <c r="M277" s="89"/>
      <c r="N277" s="89"/>
      <c r="O277" s="89"/>
      <c r="P277" s="89"/>
      <c r="Q277" s="89"/>
      <c r="R277" s="89"/>
      <c r="S277" s="89"/>
      <c r="T277" s="89"/>
      <c r="U277" s="89"/>
      <c r="V277" s="89"/>
      <c r="W277" s="89"/>
      <c r="X277" s="89"/>
      <c r="Y277" s="89"/>
      <c r="AA277" t="s">
        <v>309</v>
      </c>
      <c r="AQ277" s="3"/>
    </row>
    <row r="278" spans="5:43" x14ac:dyDescent="0.35">
      <c r="E278" s="32"/>
      <c r="J278" s="89"/>
      <c r="K278" s="89"/>
      <c r="L278" s="89"/>
      <c r="M278" s="89"/>
      <c r="N278" s="89"/>
      <c r="O278" s="89"/>
      <c r="P278" s="89"/>
      <c r="Q278" s="89"/>
      <c r="R278" s="89"/>
      <c r="S278" s="89"/>
      <c r="T278" s="89"/>
      <c r="U278" s="89"/>
      <c r="V278" s="89"/>
      <c r="W278" s="89"/>
      <c r="X278" s="89"/>
      <c r="Y278" s="89"/>
      <c r="AQ278" s="3"/>
    </row>
    <row r="279" spans="5:43" x14ac:dyDescent="0.35">
      <c r="F279" s="28" t="s">
        <v>447</v>
      </c>
      <c r="G279" s="28" t="s">
        <v>251</v>
      </c>
      <c r="J279" s="98">
        <f t="shared" ref="J279:Y279" si="47">J203</f>
        <v>0</v>
      </c>
      <c r="K279" s="98">
        <f t="shared" si="47"/>
        <v>0</v>
      </c>
      <c r="L279" s="98">
        <f t="shared" si="47"/>
        <v>0</v>
      </c>
      <c r="M279" s="98">
        <f t="shared" si="47"/>
        <v>0</v>
      </c>
      <c r="N279" s="98">
        <f t="shared" si="47"/>
        <v>880046.45783348207</v>
      </c>
      <c r="O279" s="98">
        <f t="shared" si="47"/>
        <v>43340.603645369527</v>
      </c>
      <c r="P279" s="98">
        <f t="shared" si="47"/>
        <v>392922.99999999983</v>
      </c>
      <c r="Q279" s="98">
        <f t="shared" si="47"/>
        <v>0</v>
      </c>
      <c r="R279" s="98">
        <f t="shared" si="47"/>
        <v>0</v>
      </c>
      <c r="S279" s="98">
        <f t="shared" si="47"/>
        <v>0</v>
      </c>
      <c r="T279" s="98">
        <f t="shared" si="47"/>
        <v>0</v>
      </c>
      <c r="U279" s="98">
        <f t="shared" si="47"/>
        <v>0</v>
      </c>
      <c r="V279" s="98">
        <f t="shared" si="47"/>
        <v>0</v>
      </c>
      <c r="W279" s="98">
        <f t="shared" si="47"/>
        <v>0</v>
      </c>
      <c r="X279" s="98">
        <f t="shared" si="47"/>
        <v>0</v>
      </c>
      <c r="Y279" s="98">
        <f t="shared" si="47"/>
        <v>0</v>
      </c>
      <c r="AQ279" s="3"/>
    </row>
    <row r="280" spans="5:43" x14ac:dyDescent="0.35">
      <c r="F280" s="28" t="s">
        <v>448</v>
      </c>
      <c r="G280" s="28" t="s">
        <v>251</v>
      </c>
      <c r="J280" s="98">
        <f t="shared" ref="J280:Y280" si="48">J212</f>
        <v>0</v>
      </c>
      <c r="K280" s="98">
        <f t="shared" si="48"/>
        <v>0</v>
      </c>
      <c r="L280" s="98">
        <f t="shared" si="48"/>
        <v>0</v>
      </c>
      <c r="M280" s="98">
        <f t="shared" si="48"/>
        <v>0</v>
      </c>
      <c r="N280" s="98">
        <f t="shared" si="48"/>
        <v>2199.9999999999995</v>
      </c>
      <c r="O280" s="98">
        <f t="shared" si="48"/>
        <v>0</v>
      </c>
      <c r="P280" s="98">
        <f t="shared" si="48"/>
        <v>0</v>
      </c>
      <c r="Q280" s="98">
        <f t="shared" si="48"/>
        <v>0</v>
      </c>
      <c r="R280" s="98">
        <f t="shared" si="48"/>
        <v>0</v>
      </c>
      <c r="S280" s="98">
        <f t="shared" si="48"/>
        <v>0</v>
      </c>
      <c r="T280" s="98">
        <f t="shared" si="48"/>
        <v>0</v>
      </c>
      <c r="U280" s="98">
        <f t="shared" si="48"/>
        <v>0</v>
      </c>
      <c r="V280" s="98">
        <f t="shared" si="48"/>
        <v>0</v>
      </c>
      <c r="W280" s="98">
        <f t="shared" si="48"/>
        <v>0</v>
      </c>
      <c r="X280" s="98">
        <f t="shared" si="48"/>
        <v>0</v>
      </c>
      <c r="Y280" s="98">
        <f t="shared" si="48"/>
        <v>0</v>
      </c>
      <c r="AQ280" s="3"/>
    </row>
    <row r="281" spans="5:43" x14ac:dyDescent="0.35">
      <c r="F281" s="28" t="s">
        <v>449</v>
      </c>
      <c r="G281" s="28" t="s">
        <v>251</v>
      </c>
      <c r="J281" s="98">
        <f t="shared" ref="J281:Y281" si="49">J221</f>
        <v>0</v>
      </c>
      <c r="K281" s="98">
        <f t="shared" si="49"/>
        <v>0</v>
      </c>
      <c r="L281" s="98">
        <f t="shared" si="49"/>
        <v>0</v>
      </c>
      <c r="M281" s="98">
        <f t="shared" si="49"/>
        <v>0</v>
      </c>
      <c r="N281" s="98">
        <f t="shared" si="49"/>
        <v>3289.7252518645596</v>
      </c>
      <c r="O281" s="98">
        <f t="shared" si="49"/>
        <v>958.6666666666664</v>
      </c>
      <c r="P281" s="98">
        <f t="shared" si="49"/>
        <v>17750</v>
      </c>
      <c r="Q281" s="98">
        <f t="shared" si="49"/>
        <v>0</v>
      </c>
      <c r="R281" s="98">
        <f t="shared" si="49"/>
        <v>0</v>
      </c>
      <c r="S281" s="98">
        <f t="shared" si="49"/>
        <v>0</v>
      </c>
      <c r="T281" s="98">
        <f t="shared" si="49"/>
        <v>0</v>
      </c>
      <c r="U281" s="98">
        <f t="shared" si="49"/>
        <v>0</v>
      </c>
      <c r="V281" s="98">
        <f t="shared" si="49"/>
        <v>0</v>
      </c>
      <c r="W281" s="98">
        <f t="shared" si="49"/>
        <v>0</v>
      </c>
      <c r="X281" s="98">
        <f t="shared" si="49"/>
        <v>0</v>
      </c>
      <c r="Y281" s="98">
        <f t="shared" si="49"/>
        <v>0</v>
      </c>
      <c r="AQ281" s="3"/>
    </row>
    <row r="282" spans="5:43" x14ac:dyDescent="0.35">
      <c r="F282" s="28" t="s">
        <v>450</v>
      </c>
      <c r="G282" s="28" t="s">
        <v>167</v>
      </c>
      <c r="J282" s="385">
        <f t="shared" ref="J282:Y282" si="50">IF(J$41, J$47, J$34)</f>
        <v>0.29370961868251882</v>
      </c>
      <c r="K282" s="385">
        <f t="shared" si="50"/>
        <v>0.29370961868251882</v>
      </c>
      <c r="L282" s="385">
        <f t="shared" si="50"/>
        <v>0.29370961868251882</v>
      </c>
      <c r="M282" s="385">
        <f t="shared" si="50"/>
        <v>0.29370961868251882</v>
      </c>
      <c r="N282" s="385">
        <f t="shared" si="50"/>
        <v>0.29370961868251882</v>
      </c>
      <c r="O282" s="385">
        <f t="shared" si="50"/>
        <v>0</v>
      </c>
      <c r="P282" s="385">
        <f t="shared" si="50"/>
        <v>0</v>
      </c>
      <c r="Q282" s="385">
        <f t="shared" si="50"/>
        <v>0.29370961868251882</v>
      </c>
      <c r="R282" s="385">
        <f t="shared" si="50"/>
        <v>0</v>
      </c>
      <c r="S282" s="385">
        <f t="shared" si="50"/>
        <v>0</v>
      </c>
      <c r="T282" s="385">
        <f t="shared" si="50"/>
        <v>0</v>
      </c>
      <c r="U282" s="385">
        <f t="shared" si="50"/>
        <v>0</v>
      </c>
      <c r="V282" s="385">
        <f t="shared" si="50"/>
        <v>0</v>
      </c>
      <c r="W282" s="385">
        <f t="shared" si="50"/>
        <v>0</v>
      </c>
      <c r="X282" s="385">
        <f t="shared" si="50"/>
        <v>0</v>
      </c>
      <c r="Y282" s="385">
        <f t="shared" si="50"/>
        <v>0</v>
      </c>
      <c r="AQ282" s="3"/>
    </row>
    <row r="283" spans="5:43" x14ac:dyDescent="0.35">
      <c r="F283" s="28" t="s">
        <v>451</v>
      </c>
      <c r="G283" s="28" t="s">
        <v>167</v>
      </c>
      <c r="J283" s="385">
        <f t="shared" ref="J283:Y283" si="51">IF(J$41, J$47, J$35)</f>
        <v>0.53256520183821399</v>
      </c>
      <c r="K283" s="385">
        <f t="shared" si="51"/>
        <v>0.53256520183821399</v>
      </c>
      <c r="L283" s="385">
        <f t="shared" si="51"/>
        <v>0.53256520183821399</v>
      </c>
      <c r="M283" s="385">
        <f t="shared" si="51"/>
        <v>0.53256520183821399</v>
      </c>
      <c r="N283" s="385">
        <f t="shared" si="51"/>
        <v>0.53256520183821399</v>
      </c>
      <c r="O283" s="385">
        <f t="shared" si="51"/>
        <v>0.32519003293204285</v>
      </c>
      <c r="P283" s="385">
        <f t="shared" si="51"/>
        <v>0.26241459087249852</v>
      </c>
      <c r="Q283" s="385">
        <f t="shared" si="51"/>
        <v>0.53256520183821399</v>
      </c>
      <c r="R283" s="385">
        <f t="shared" si="51"/>
        <v>0</v>
      </c>
      <c r="S283" s="385">
        <f t="shared" si="51"/>
        <v>0</v>
      </c>
      <c r="T283" s="385">
        <f t="shared" si="51"/>
        <v>0</v>
      </c>
      <c r="U283" s="385">
        <f t="shared" si="51"/>
        <v>0</v>
      </c>
      <c r="V283" s="385">
        <f t="shared" si="51"/>
        <v>0</v>
      </c>
      <c r="W283" s="385">
        <f t="shared" si="51"/>
        <v>0</v>
      </c>
      <c r="X283" s="385">
        <f t="shared" si="51"/>
        <v>0</v>
      </c>
      <c r="Y283" s="385">
        <f t="shared" si="51"/>
        <v>0</v>
      </c>
      <c r="AQ283" s="3"/>
    </row>
    <row r="284" spans="5:43" x14ac:dyDescent="0.35">
      <c r="F284" s="28" t="s">
        <v>452</v>
      </c>
      <c r="G284" s="28" t="s">
        <v>251</v>
      </c>
      <c r="J284" s="98">
        <f t="shared" ref="J284:Y284" si="52">J280 * (1 - J282)</f>
        <v>0</v>
      </c>
      <c r="K284" s="98">
        <f t="shared" si="52"/>
        <v>0</v>
      </c>
      <c r="L284" s="98">
        <f t="shared" si="52"/>
        <v>0</v>
      </c>
      <c r="M284" s="98">
        <f t="shared" si="52"/>
        <v>0</v>
      </c>
      <c r="N284" s="98">
        <f t="shared" si="52"/>
        <v>1553.8388388984583</v>
      </c>
      <c r="O284" s="98">
        <f t="shared" si="52"/>
        <v>0</v>
      </c>
      <c r="P284" s="98">
        <f t="shared" si="52"/>
        <v>0</v>
      </c>
      <c r="Q284" s="98">
        <f t="shared" si="52"/>
        <v>0</v>
      </c>
      <c r="R284" s="98">
        <f t="shared" si="52"/>
        <v>0</v>
      </c>
      <c r="S284" s="98">
        <f t="shared" si="52"/>
        <v>0</v>
      </c>
      <c r="T284" s="98">
        <f t="shared" si="52"/>
        <v>0</v>
      </c>
      <c r="U284" s="98">
        <f t="shared" si="52"/>
        <v>0</v>
      </c>
      <c r="V284" s="98">
        <f t="shared" si="52"/>
        <v>0</v>
      </c>
      <c r="W284" s="98">
        <f t="shared" si="52"/>
        <v>0</v>
      </c>
      <c r="X284" s="98">
        <f t="shared" si="52"/>
        <v>0</v>
      </c>
      <c r="Y284" s="98">
        <f t="shared" si="52"/>
        <v>0</v>
      </c>
      <c r="AQ284" s="3"/>
    </row>
    <row r="285" spans="5:43" x14ac:dyDescent="0.35">
      <c r="F285" s="67" t="s">
        <v>453</v>
      </c>
      <c r="G285" s="67" t="s">
        <v>251</v>
      </c>
      <c r="H285" s="37"/>
      <c r="I285" s="37"/>
      <c r="J285" s="100">
        <f t="shared" ref="J285:Y285" si="53">J281 * (1 - J283)</f>
        <v>0</v>
      </c>
      <c r="K285" s="100">
        <f t="shared" si="53"/>
        <v>0</v>
      </c>
      <c r="L285" s="100">
        <f t="shared" si="53"/>
        <v>0</v>
      </c>
      <c r="M285" s="100">
        <f t="shared" si="53"/>
        <v>0</v>
      </c>
      <c r="N285" s="100">
        <f t="shared" si="53"/>
        <v>1537.732059113041</v>
      </c>
      <c r="O285" s="100">
        <f t="shared" si="53"/>
        <v>646.91782176248137</v>
      </c>
      <c r="P285" s="100">
        <f t="shared" si="53"/>
        <v>13092.141012013151</v>
      </c>
      <c r="Q285" s="100">
        <f t="shared" si="53"/>
        <v>0</v>
      </c>
      <c r="R285" s="100">
        <f t="shared" si="53"/>
        <v>0</v>
      </c>
      <c r="S285" s="100">
        <f t="shared" si="53"/>
        <v>0</v>
      </c>
      <c r="T285" s="100">
        <f t="shared" si="53"/>
        <v>0</v>
      </c>
      <c r="U285" s="100">
        <f t="shared" si="53"/>
        <v>0</v>
      </c>
      <c r="V285" s="100">
        <f t="shared" si="53"/>
        <v>0</v>
      </c>
      <c r="W285" s="100">
        <f t="shared" si="53"/>
        <v>0</v>
      </c>
      <c r="X285" s="100">
        <f t="shared" si="53"/>
        <v>0</v>
      </c>
      <c r="Y285" s="100">
        <f t="shared" si="53"/>
        <v>0</v>
      </c>
      <c r="AQ285" s="3"/>
    </row>
    <row r="286" spans="5:43" x14ac:dyDescent="0.35">
      <c r="F286" s="28" t="s">
        <v>454</v>
      </c>
      <c r="G286" s="28" t="s">
        <v>251</v>
      </c>
      <c r="J286" s="121">
        <f t="shared" ref="J286:Y286" si="54">J279 + J284 + J285</f>
        <v>0</v>
      </c>
      <c r="K286" s="121">
        <f t="shared" si="54"/>
        <v>0</v>
      </c>
      <c r="L286" s="121">
        <f t="shared" si="54"/>
        <v>0</v>
      </c>
      <c r="M286" s="121">
        <f t="shared" si="54"/>
        <v>0</v>
      </c>
      <c r="N286" s="121">
        <f t="shared" si="54"/>
        <v>883138.02873149351</v>
      </c>
      <c r="O286" s="121">
        <f t="shared" si="54"/>
        <v>43987.521467132006</v>
      </c>
      <c r="P286" s="121">
        <f t="shared" si="54"/>
        <v>406015.14101201296</v>
      </c>
      <c r="Q286" s="121">
        <f t="shared" si="54"/>
        <v>0</v>
      </c>
      <c r="R286" s="121">
        <f t="shared" si="54"/>
        <v>0</v>
      </c>
      <c r="S286" s="121">
        <f t="shared" si="54"/>
        <v>0</v>
      </c>
      <c r="T286" s="121">
        <f t="shared" si="54"/>
        <v>0</v>
      </c>
      <c r="U286" s="121">
        <f t="shared" si="54"/>
        <v>0</v>
      </c>
      <c r="V286" s="121">
        <f t="shared" si="54"/>
        <v>0</v>
      </c>
      <c r="W286" s="121">
        <f t="shared" si="54"/>
        <v>0</v>
      </c>
      <c r="X286" s="121">
        <f t="shared" si="54"/>
        <v>0</v>
      </c>
      <c r="Y286" s="121">
        <f t="shared" si="54"/>
        <v>0</v>
      </c>
      <c r="AQ286" s="3"/>
    </row>
    <row r="287" spans="5:43" x14ac:dyDescent="0.35">
      <c r="E287" s="32"/>
      <c r="J287" s="89"/>
      <c r="K287" s="89"/>
      <c r="L287" s="89"/>
      <c r="M287" s="89"/>
      <c r="N287" s="89"/>
      <c r="O287" s="89"/>
      <c r="P287" s="89"/>
      <c r="Q287" s="89"/>
      <c r="R287" s="89"/>
      <c r="S287" s="89"/>
      <c r="T287" s="89"/>
      <c r="U287" s="89"/>
      <c r="V287" s="89"/>
      <c r="W287" s="89"/>
      <c r="X287" s="89"/>
      <c r="Y287" s="89"/>
      <c r="AQ287" s="3"/>
    </row>
    <row r="288" spans="5:43" x14ac:dyDescent="0.35">
      <c r="E288" s="32" t="s">
        <v>252</v>
      </c>
      <c r="I288" t="s">
        <v>154</v>
      </c>
      <c r="J288" s="89"/>
      <c r="K288" s="89"/>
      <c r="L288" s="89"/>
      <c r="M288" s="89"/>
      <c r="N288" s="89"/>
      <c r="O288" s="89"/>
      <c r="P288" s="89"/>
      <c r="Q288" s="89"/>
      <c r="R288" s="89"/>
      <c r="S288" s="89"/>
      <c r="T288" s="89"/>
      <c r="U288" s="89"/>
      <c r="V288" s="89"/>
      <c r="W288" s="89"/>
      <c r="X288" s="89"/>
      <c r="Y288" s="89"/>
      <c r="AA288" t="s">
        <v>309</v>
      </c>
      <c r="AQ288" s="3"/>
    </row>
    <row r="289" spans="5:43" x14ac:dyDescent="0.35">
      <c r="E289" s="32"/>
      <c r="J289" s="89"/>
      <c r="K289" s="89"/>
      <c r="L289" s="89"/>
      <c r="M289" s="89"/>
      <c r="N289" s="89"/>
      <c r="O289" s="89"/>
      <c r="P289" s="89"/>
      <c r="Q289" s="89"/>
      <c r="R289" s="89"/>
      <c r="S289" s="89"/>
      <c r="T289" s="89"/>
      <c r="U289" s="89"/>
      <c r="V289" s="89"/>
      <c r="W289" s="89"/>
      <c r="X289" s="89"/>
      <c r="Y289" s="89"/>
      <c r="AQ289" s="3"/>
    </row>
    <row r="290" spans="5:43" x14ac:dyDescent="0.35">
      <c r="F290" s="28" t="s">
        <v>447</v>
      </c>
      <c r="G290" s="28" t="s">
        <v>251</v>
      </c>
      <c r="J290" s="98">
        <f t="shared" ref="J290:Y290" si="55">J204</f>
        <v>0</v>
      </c>
      <c r="K290" s="98">
        <f t="shared" si="55"/>
        <v>0</v>
      </c>
      <c r="L290" s="98">
        <f t="shared" si="55"/>
        <v>0</v>
      </c>
      <c r="M290" s="98">
        <f t="shared" si="55"/>
        <v>0</v>
      </c>
      <c r="N290" s="98">
        <f t="shared" si="55"/>
        <v>17882.697733889239</v>
      </c>
      <c r="O290" s="98">
        <f t="shared" si="55"/>
        <v>1310.6201857762587</v>
      </c>
      <c r="P290" s="98">
        <f t="shared" si="55"/>
        <v>10335.999999999998</v>
      </c>
      <c r="Q290" s="98">
        <f t="shared" si="55"/>
        <v>0</v>
      </c>
      <c r="R290" s="98">
        <f t="shared" si="55"/>
        <v>0</v>
      </c>
      <c r="S290" s="98">
        <f t="shared" si="55"/>
        <v>0</v>
      </c>
      <c r="T290" s="98">
        <f t="shared" si="55"/>
        <v>0</v>
      </c>
      <c r="U290" s="98">
        <f t="shared" si="55"/>
        <v>0</v>
      </c>
      <c r="V290" s="98">
        <f t="shared" si="55"/>
        <v>0</v>
      </c>
      <c r="W290" s="98">
        <f t="shared" si="55"/>
        <v>0</v>
      </c>
      <c r="X290" s="98">
        <f t="shared" si="55"/>
        <v>0</v>
      </c>
      <c r="Y290" s="98">
        <f t="shared" si="55"/>
        <v>0</v>
      </c>
      <c r="AQ290" s="3"/>
    </row>
    <row r="291" spans="5:43" x14ac:dyDescent="0.35">
      <c r="F291" s="28" t="s">
        <v>448</v>
      </c>
      <c r="G291" s="28" t="s">
        <v>251</v>
      </c>
      <c r="J291" s="98">
        <f t="shared" ref="J291:Y291" si="56">J213</f>
        <v>0</v>
      </c>
      <c r="K291" s="98">
        <f t="shared" si="56"/>
        <v>0</v>
      </c>
      <c r="L291" s="98">
        <f t="shared" si="56"/>
        <v>0</v>
      </c>
      <c r="M291" s="98">
        <f t="shared" si="56"/>
        <v>0</v>
      </c>
      <c r="N291" s="98">
        <f t="shared" si="56"/>
        <v>0</v>
      </c>
      <c r="O291" s="98">
        <f t="shared" si="56"/>
        <v>0</v>
      </c>
      <c r="P291" s="98">
        <f t="shared" si="56"/>
        <v>0</v>
      </c>
      <c r="Q291" s="98">
        <f t="shared" si="56"/>
        <v>0</v>
      </c>
      <c r="R291" s="98">
        <f t="shared" si="56"/>
        <v>0</v>
      </c>
      <c r="S291" s="98">
        <f t="shared" si="56"/>
        <v>0</v>
      </c>
      <c r="T291" s="98">
        <f t="shared" si="56"/>
        <v>0</v>
      </c>
      <c r="U291" s="98">
        <f t="shared" si="56"/>
        <v>0</v>
      </c>
      <c r="V291" s="98">
        <f t="shared" si="56"/>
        <v>0</v>
      </c>
      <c r="W291" s="98">
        <f t="shared" si="56"/>
        <v>0</v>
      </c>
      <c r="X291" s="98">
        <f t="shared" si="56"/>
        <v>0</v>
      </c>
      <c r="Y291" s="98">
        <f t="shared" si="56"/>
        <v>0</v>
      </c>
      <c r="AQ291" s="3"/>
    </row>
    <row r="292" spans="5:43" x14ac:dyDescent="0.35">
      <c r="F292" s="28" t="s">
        <v>449</v>
      </c>
      <c r="G292" s="28" t="s">
        <v>251</v>
      </c>
      <c r="J292" s="98">
        <f t="shared" ref="J292:Y292" si="57">J222</f>
        <v>0</v>
      </c>
      <c r="K292" s="98">
        <f t="shared" si="57"/>
        <v>0</v>
      </c>
      <c r="L292" s="98">
        <f t="shared" si="57"/>
        <v>0</v>
      </c>
      <c r="M292" s="98">
        <f t="shared" si="57"/>
        <v>0</v>
      </c>
      <c r="N292" s="98">
        <f t="shared" si="57"/>
        <v>27.228726689623894</v>
      </c>
      <c r="O292" s="98">
        <f t="shared" si="57"/>
        <v>0</v>
      </c>
      <c r="P292" s="98">
        <f t="shared" si="57"/>
        <v>0</v>
      </c>
      <c r="Q292" s="98">
        <f t="shared" si="57"/>
        <v>0</v>
      </c>
      <c r="R292" s="98">
        <f t="shared" si="57"/>
        <v>0</v>
      </c>
      <c r="S292" s="98">
        <f t="shared" si="57"/>
        <v>0</v>
      </c>
      <c r="T292" s="98">
        <f t="shared" si="57"/>
        <v>0</v>
      </c>
      <c r="U292" s="98">
        <f t="shared" si="57"/>
        <v>0</v>
      </c>
      <c r="V292" s="98">
        <f t="shared" si="57"/>
        <v>0</v>
      </c>
      <c r="W292" s="98">
        <f t="shared" si="57"/>
        <v>0</v>
      </c>
      <c r="X292" s="98">
        <f t="shared" si="57"/>
        <v>0</v>
      </c>
      <c r="Y292" s="98">
        <f t="shared" si="57"/>
        <v>0</v>
      </c>
      <c r="AQ292" s="3"/>
    </row>
    <row r="293" spans="5:43" x14ac:dyDescent="0.35">
      <c r="F293" s="28" t="s">
        <v>450</v>
      </c>
      <c r="G293" s="28" t="s">
        <v>167</v>
      </c>
      <c r="J293" s="385">
        <f t="shared" ref="J293:Y293" si="58">IF(J$42, J$48, J$34)</f>
        <v>0.29370961868251882</v>
      </c>
      <c r="K293" s="385">
        <f t="shared" si="58"/>
        <v>0.29370961868251882</v>
      </c>
      <c r="L293" s="385">
        <f t="shared" si="58"/>
        <v>0.29370961868251882</v>
      </c>
      <c r="M293" s="385">
        <f t="shared" si="58"/>
        <v>0.29370961868251882</v>
      </c>
      <c r="N293" s="385">
        <f t="shared" si="58"/>
        <v>0.29370961868251882</v>
      </c>
      <c r="O293" s="385">
        <f t="shared" si="58"/>
        <v>0</v>
      </c>
      <c r="P293" s="385">
        <f t="shared" si="58"/>
        <v>0</v>
      </c>
      <c r="Q293" s="385">
        <f t="shared" si="58"/>
        <v>0.29370961868251882</v>
      </c>
      <c r="R293" s="385">
        <f t="shared" si="58"/>
        <v>0</v>
      </c>
      <c r="S293" s="385">
        <f t="shared" si="58"/>
        <v>0</v>
      </c>
      <c r="T293" s="385">
        <f t="shared" si="58"/>
        <v>0</v>
      </c>
      <c r="U293" s="385">
        <f t="shared" si="58"/>
        <v>0</v>
      </c>
      <c r="V293" s="385">
        <f t="shared" si="58"/>
        <v>0</v>
      </c>
      <c r="W293" s="385">
        <f t="shared" si="58"/>
        <v>0</v>
      </c>
      <c r="X293" s="385">
        <f t="shared" si="58"/>
        <v>0</v>
      </c>
      <c r="Y293" s="385">
        <f t="shared" si="58"/>
        <v>0</v>
      </c>
      <c r="AQ293" s="3"/>
    </row>
    <row r="294" spans="5:43" x14ac:dyDescent="0.35">
      <c r="F294" s="28" t="s">
        <v>451</v>
      </c>
      <c r="G294" s="28" t="s">
        <v>167</v>
      </c>
      <c r="J294" s="385">
        <f t="shared" ref="J294:Y294" si="59">IF(J$42, J$48, J$35)</f>
        <v>0.53256520183821399</v>
      </c>
      <c r="K294" s="385">
        <f t="shared" si="59"/>
        <v>0.53256520183821399</v>
      </c>
      <c r="L294" s="385">
        <f t="shared" si="59"/>
        <v>0.53256520183821399</v>
      </c>
      <c r="M294" s="385">
        <f t="shared" si="59"/>
        <v>0.53256520183821399</v>
      </c>
      <c r="N294" s="385">
        <f t="shared" si="59"/>
        <v>0.53256520183821399</v>
      </c>
      <c r="O294" s="385">
        <f t="shared" si="59"/>
        <v>0.32519003293204285</v>
      </c>
      <c r="P294" s="385">
        <f t="shared" si="59"/>
        <v>0.26241459087249852</v>
      </c>
      <c r="Q294" s="385">
        <f t="shared" si="59"/>
        <v>0.53256520183821399</v>
      </c>
      <c r="R294" s="385">
        <f t="shared" si="59"/>
        <v>0</v>
      </c>
      <c r="S294" s="385">
        <f t="shared" si="59"/>
        <v>0</v>
      </c>
      <c r="T294" s="385">
        <f t="shared" si="59"/>
        <v>0</v>
      </c>
      <c r="U294" s="385">
        <f t="shared" si="59"/>
        <v>0</v>
      </c>
      <c r="V294" s="385">
        <f t="shared" si="59"/>
        <v>0</v>
      </c>
      <c r="W294" s="385">
        <f t="shared" si="59"/>
        <v>0</v>
      </c>
      <c r="X294" s="385">
        <f t="shared" si="59"/>
        <v>0</v>
      </c>
      <c r="Y294" s="385">
        <f t="shared" si="59"/>
        <v>0</v>
      </c>
      <c r="AQ294" s="3"/>
    </row>
    <row r="295" spans="5:43" x14ac:dyDescent="0.35">
      <c r="F295" s="28" t="s">
        <v>452</v>
      </c>
      <c r="G295" s="28" t="s">
        <v>251</v>
      </c>
      <c r="J295" s="98">
        <f t="shared" ref="J295:Y295" si="60">J291 * (1 - J293)</f>
        <v>0</v>
      </c>
      <c r="K295" s="98">
        <f t="shared" si="60"/>
        <v>0</v>
      </c>
      <c r="L295" s="98">
        <f t="shared" si="60"/>
        <v>0</v>
      </c>
      <c r="M295" s="98">
        <f t="shared" si="60"/>
        <v>0</v>
      </c>
      <c r="N295" s="98">
        <f t="shared" si="60"/>
        <v>0</v>
      </c>
      <c r="O295" s="98">
        <f t="shared" si="60"/>
        <v>0</v>
      </c>
      <c r="P295" s="98">
        <f t="shared" si="60"/>
        <v>0</v>
      </c>
      <c r="Q295" s="98">
        <f t="shared" si="60"/>
        <v>0</v>
      </c>
      <c r="R295" s="98">
        <f t="shared" si="60"/>
        <v>0</v>
      </c>
      <c r="S295" s="98">
        <f t="shared" si="60"/>
        <v>0</v>
      </c>
      <c r="T295" s="98">
        <f t="shared" si="60"/>
        <v>0</v>
      </c>
      <c r="U295" s="98">
        <f t="shared" si="60"/>
        <v>0</v>
      </c>
      <c r="V295" s="98">
        <f t="shared" si="60"/>
        <v>0</v>
      </c>
      <c r="W295" s="98">
        <f t="shared" si="60"/>
        <v>0</v>
      </c>
      <c r="X295" s="98">
        <f t="shared" si="60"/>
        <v>0</v>
      </c>
      <c r="Y295" s="98">
        <f t="shared" si="60"/>
        <v>0</v>
      </c>
      <c r="AQ295" s="3"/>
    </row>
    <row r="296" spans="5:43" x14ac:dyDescent="0.35">
      <c r="F296" s="67" t="s">
        <v>453</v>
      </c>
      <c r="G296" s="67" t="s">
        <v>251</v>
      </c>
      <c r="H296" s="37"/>
      <c r="I296" s="37"/>
      <c r="J296" s="100">
        <f t="shared" ref="J296:Y296" si="61">J292 * (1 - J294)</f>
        <v>0</v>
      </c>
      <c r="K296" s="100">
        <f t="shared" si="61"/>
        <v>0</v>
      </c>
      <c r="L296" s="100">
        <f t="shared" si="61"/>
        <v>0</v>
      </c>
      <c r="M296" s="100">
        <f t="shared" si="61"/>
        <v>0</v>
      </c>
      <c r="N296" s="100">
        <f t="shared" si="61"/>
        <v>12.727654364366781</v>
      </c>
      <c r="O296" s="100">
        <f t="shared" si="61"/>
        <v>0</v>
      </c>
      <c r="P296" s="100">
        <f t="shared" si="61"/>
        <v>0</v>
      </c>
      <c r="Q296" s="100">
        <f t="shared" si="61"/>
        <v>0</v>
      </c>
      <c r="R296" s="100">
        <f t="shared" si="61"/>
        <v>0</v>
      </c>
      <c r="S296" s="100">
        <f t="shared" si="61"/>
        <v>0</v>
      </c>
      <c r="T296" s="100">
        <f t="shared" si="61"/>
        <v>0</v>
      </c>
      <c r="U296" s="100">
        <f t="shared" si="61"/>
        <v>0</v>
      </c>
      <c r="V296" s="100">
        <f t="shared" si="61"/>
        <v>0</v>
      </c>
      <c r="W296" s="100">
        <f t="shared" si="61"/>
        <v>0</v>
      </c>
      <c r="X296" s="100">
        <f t="shared" si="61"/>
        <v>0</v>
      </c>
      <c r="Y296" s="100">
        <f t="shared" si="61"/>
        <v>0</v>
      </c>
      <c r="AQ296" s="3"/>
    </row>
    <row r="297" spans="5:43" x14ac:dyDescent="0.35">
      <c r="F297" s="28" t="s">
        <v>454</v>
      </c>
      <c r="G297" s="28" t="s">
        <v>251</v>
      </c>
      <c r="J297" s="121">
        <f t="shared" ref="J297:Y297" si="62">J290 + J295 + J296</f>
        <v>0</v>
      </c>
      <c r="K297" s="121">
        <f t="shared" si="62"/>
        <v>0</v>
      </c>
      <c r="L297" s="121">
        <f t="shared" si="62"/>
        <v>0</v>
      </c>
      <c r="M297" s="121">
        <f t="shared" si="62"/>
        <v>0</v>
      </c>
      <c r="N297" s="121">
        <f t="shared" si="62"/>
        <v>17895.425388253607</v>
      </c>
      <c r="O297" s="121">
        <f t="shared" si="62"/>
        <v>1310.6201857762587</v>
      </c>
      <c r="P297" s="121">
        <f t="shared" si="62"/>
        <v>10335.999999999998</v>
      </c>
      <c r="Q297" s="121">
        <f t="shared" si="62"/>
        <v>0</v>
      </c>
      <c r="R297" s="121">
        <f t="shared" si="62"/>
        <v>0</v>
      </c>
      <c r="S297" s="121">
        <f t="shared" si="62"/>
        <v>0</v>
      </c>
      <c r="T297" s="121">
        <f t="shared" si="62"/>
        <v>0</v>
      </c>
      <c r="U297" s="121">
        <f t="shared" si="62"/>
        <v>0</v>
      </c>
      <c r="V297" s="121">
        <f t="shared" si="62"/>
        <v>0</v>
      </c>
      <c r="W297" s="121">
        <f t="shared" si="62"/>
        <v>0</v>
      </c>
      <c r="X297" s="121">
        <f t="shared" si="62"/>
        <v>0</v>
      </c>
      <c r="Y297" s="121">
        <f t="shared" si="62"/>
        <v>0</v>
      </c>
      <c r="AQ297" s="3"/>
    </row>
    <row r="298" spans="5:43" x14ac:dyDescent="0.35">
      <c r="E298" s="32"/>
      <c r="J298" s="89"/>
      <c r="K298" s="89"/>
      <c r="L298" s="89"/>
      <c r="M298" s="89"/>
      <c r="N298" s="89"/>
      <c r="O298" s="89"/>
      <c r="P298" s="89"/>
      <c r="Q298" s="89"/>
      <c r="R298" s="89"/>
      <c r="S298" s="89"/>
      <c r="T298" s="89"/>
      <c r="U298" s="89"/>
      <c r="V298" s="89"/>
      <c r="W298" s="89"/>
      <c r="X298" s="89"/>
      <c r="Y298" s="89"/>
      <c r="AQ298" s="3"/>
    </row>
    <row r="299" spans="5:43" x14ac:dyDescent="0.35">
      <c r="E299" s="32" t="s">
        <v>253</v>
      </c>
      <c r="I299" t="s">
        <v>154</v>
      </c>
      <c r="J299" s="89"/>
      <c r="K299" s="89"/>
      <c r="L299" s="89"/>
      <c r="M299" s="89"/>
      <c r="N299" s="89"/>
      <c r="O299" s="89"/>
      <c r="P299" s="89"/>
      <c r="Q299" s="89"/>
      <c r="R299" s="89"/>
      <c r="S299" s="89"/>
      <c r="T299" s="89"/>
      <c r="U299" s="89"/>
      <c r="V299" s="89"/>
      <c r="W299" s="89"/>
      <c r="X299" s="89"/>
      <c r="Y299" s="89"/>
      <c r="AA299" t="s">
        <v>309</v>
      </c>
      <c r="AQ299" s="3"/>
    </row>
    <row r="300" spans="5:43" x14ac:dyDescent="0.35">
      <c r="E300" s="32"/>
      <c r="J300" s="89"/>
      <c r="K300" s="89"/>
      <c r="L300" s="89"/>
      <c r="M300" s="89"/>
      <c r="N300" s="89"/>
      <c r="O300" s="89"/>
      <c r="P300" s="89"/>
      <c r="Q300" s="89"/>
      <c r="R300" s="89"/>
      <c r="S300" s="89"/>
      <c r="T300" s="89"/>
      <c r="U300" s="89"/>
      <c r="V300" s="89"/>
      <c r="W300" s="89"/>
      <c r="X300" s="89"/>
      <c r="Y300" s="89"/>
      <c r="AQ300" s="3"/>
    </row>
    <row r="301" spans="5:43" x14ac:dyDescent="0.35">
      <c r="F301" s="28" t="s">
        <v>447</v>
      </c>
      <c r="G301" s="28" t="s">
        <v>254</v>
      </c>
      <c r="J301" s="98">
        <f t="shared" ref="J301:Y301" si="63">J205</f>
        <v>0</v>
      </c>
      <c r="K301" s="98">
        <f t="shared" si="63"/>
        <v>0</v>
      </c>
      <c r="L301" s="98">
        <f t="shared" si="63"/>
        <v>0</v>
      </c>
      <c r="M301" s="98">
        <f t="shared" si="63"/>
        <v>0</v>
      </c>
      <c r="N301" s="98">
        <f t="shared" si="63"/>
        <v>164236.41676297155</v>
      </c>
      <c r="O301" s="98">
        <f t="shared" si="63"/>
        <v>8849.9226779359269</v>
      </c>
      <c r="P301" s="98">
        <f t="shared" si="63"/>
        <v>135208.24981886637</v>
      </c>
      <c r="Q301" s="98">
        <f t="shared" si="63"/>
        <v>0</v>
      </c>
      <c r="R301" s="98">
        <f t="shared" si="63"/>
        <v>0</v>
      </c>
      <c r="S301" s="98">
        <f t="shared" si="63"/>
        <v>0</v>
      </c>
      <c r="T301" s="98">
        <f t="shared" si="63"/>
        <v>12161.310051003624</v>
      </c>
      <c r="U301" s="98">
        <f t="shared" si="63"/>
        <v>0</v>
      </c>
      <c r="V301" s="98">
        <f t="shared" si="63"/>
        <v>0</v>
      </c>
      <c r="W301" s="98">
        <f t="shared" si="63"/>
        <v>0</v>
      </c>
      <c r="X301" s="98">
        <f t="shared" si="63"/>
        <v>36125.02323166062</v>
      </c>
      <c r="Y301" s="98">
        <f t="shared" si="63"/>
        <v>0</v>
      </c>
      <c r="AQ301" s="3"/>
    </row>
    <row r="302" spans="5:43" x14ac:dyDescent="0.35">
      <c r="F302" s="28" t="s">
        <v>448</v>
      </c>
      <c r="G302" s="28" t="s">
        <v>254</v>
      </c>
      <c r="J302" s="98">
        <f t="shared" ref="J302:Y302" si="64">J214</f>
        <v>0</v>
      </c>
      <c r="K302" s="98">
        <f t="shared" si="64"/>
        <v>0</v>
      </c>
      <c r="L302" s="98">
        <f t="shared" si="64"/>
        <v>0</v>
      </c>
      <c r="M302" s="98">
        <f t="shared" si="64"/>
        <v>0</v>
      </c>
      <c r="N302" s="98">
        <f t="shared" si="64"/>
        <v>102.01354546724068</v>
      </c>
      <c r="O302" s="98">
        <f t="shared" si="64"/>
        <v>0</v>
      </c>
      <c r="P302" s="98">
        <f t="shared" si="64"/>
        <v>0</v>
      </c>
      <c r="Q302" s="98">
        <f t="shared" si="64"/>
        <v>0</v>
      </c>
      <c r="R302" s="98">
        <f t="shared" si="64"/>
        <v>0</v>
      </c>
      <c r="S302" s="98">
        <f t="shared" si="64"/>
        <v>0</v>
      </c>
      <c r="T302" s="98">
        <f t="shared" si="64"/>
        <v>0</v>
      </c>
      <c r="U302" s="98">
        <f t="shared" si="64"/>
        <v>0</v>
      </c>
      <c r="V302" s="98">
        <f t="shared" si="64"/>
        <v>0</v>
      </c>
      <c r="W302" s="98">
        <f t="shared" si="64"/>
        <v>0</v>
      </c>
      <c r="X302" s="98">
        <f t="shared" si="64"/>
        <v>0</v>
      </c>
      <c r="Y302" s="98">
        <f t="shared" si="64"/>
        <v>0</v>
      </c>
      <c r="AQ302" s="3"/>
    </row>
    <row r="303" spans="5:43" x14ac:dyDescent="0.35">
      <c r="F303" s="28" t="s">
        <v>449</v>
      </c>
      <c r="G303" s="28" t="s">
        <v>254</v>
      </c>
      <c r="J303" s="98">
        <f t="shared" ref="J303:Y303" si="65">J223</f>
        <v>0</v>
      </c>
      <c r="K303" s="98">
        <f t="shared" si="65"/>
        <v>0</v>
      </c>
      <c r="L303" s="98">
        <f t="shared" si="65"/>
        <v>0</v>
      </c>
      <c r="M303" s="98">
        <f t="shared" si="65"/>
        <v>0</v>
      </c>
      <c r="N303" s="98">
        <f t="shared" si="65"/>
        <v>532.03159538450859</v>
      </c>
      <c r="O303" s="98">
        <f t="shared" si="65"/>
        <v>0.38303684789987597</v>
      </c>
      <c r="P303" s="98">
        <f t="shared" si="65"/>
        <v>0</v>
      </c>
      <c r="Q303" s="98">
        <f t="shared" si="65"/>
        <v>0</v>
      </c>
      <c r="R303" s="98">
        <f t="shared" si="65"/>
        <v>0</v>
      </c>
      <c r="S303" s="98">
        <f t="shared" si="65"/>
        <v>0</v>
      </c>
      <c r="T303" s="98">
        <f t="shared" si="65"/>
        <v>0</v>
      </c>
      <c r="U303" s="98">
        <f t="shared" si="65"/>
        <v>0</v>
      </c>
      <c r="V303" s="98">
        <f t="shared" si="65"/>
        <v>0</v>
      </c>
      <c r="W303" s="98">
        <f t="shared" si="65"/>
        <v>0</v>
      </c>
      <c r="X303" s="98">
        <f t="shared" si="65"/>
        <v>0</v>
      </c>
      <c r="Y303" s="98">
        <f t="shared" si="65"/>
        <v>0</v>
      </c>
      <c r="AQ303" s="3"/>
    </row>
    <row r="304" spans="5:43" x14ac:dyDescent="0.35">
      <c r="F304" s="28" t="s">
        <v>450</v>
      </c>
      <c r="G304" s="28" t="s">
        <v>167</v>
      </c>
      <c r="J304" s="385">
        <f t="shared" ref="J304:Y304" si="66">IF(J$43, J$49, J$34)</f>
        <v>0.29370961868251882</v>
      </c>
      <c r="K304" s="385">
        <f t="shared" si="66"/>
        <v>0.29370961868251882</v>
      </c>
      <c r="L304" s="385">
        <f t="shared" si="66"/>
        <v>0.29370961868251882</v>
      </c>
      <c r="M304" s="385">
        <f t="shared" si="66"/>
        <v>0.29370961868251882</v>
      </c>
      <c r="N304" s="385">
        <f t="shared" si="66"/>
        <v>0.29370961868251882</v>
      </c>
      <c r="O304" s="385">
        <f t="shared" si="66"/>
        <v>0</v>
      </c>
      <c r="P304" s="385">
        <f t="shared" si="66"/>
        <v>0</v>
      </c>
      <c r="Q304" s="385">
        <f t="shared" si="66"/>
        <v>0.29370961868251882</v>
      </c>
      <c r="R304" s="385">
        <f t="shared" si="66"/>
        <v>0</v>
      </c>
      <c r="S304" s="385">
        <f t="shared" si="66"/>
        <v>0</v>
      </c>
      <c r="T304" s="385">
        <f t="shared" si="66"/>
        <v>0</v>
      </c>
      <c r="U304" s="385">
        <f t="shared" si="66"/>
        <v>0</v>
      </c>
      <c r="V304" s="385">
        <f t="shared" si="66"/>
        <v>0</v>
      </c>
      <c r="W304" s="385">
        <f t="shared" si="66"/>
        <v>0</v>
      </c>
      <c r="X304" s="385">
        <f t="shared" si="66"/>
        <v>0</v>
      </c>
      <c r="Y304" s="385">
        <f t="shared" si="66"/>
        <v>0</v>
      </c>
      <c r="AQ304" s="3"/>
    </row>
    <row r="305" spans="2:43" x14ac:dyDescent="0.35">
      <c r="F305" s="28" t="s">
        <v>451</v>
      </c>
      <c r="G305" s="28" t="s">
        <v>167</v>
      </c>
      <c r="J305" s="385">
        <f t="shared" ref="J305:Y305" si="67">IF(J$43, J$49, J$35)</f>
        <v>0.53256520183821399</v>
      </c>
      <c r="K305" s="385">
        <f t="shared" si="67"/>
        <v>0.53256520183821399</v>
      </c>
      <c r="L305" s="385">
        <f t="shared" si="67"/>
        <v>0.53256520183821399</v>
      </c>
      <c r="M305" s="385">
        <f t="shared" si="67"/>
        <v>0.53256520183821399</v>
      </c>
      <c r="N305" s="385">
        <f t="shared" si="67"/>
        <v>0.53256520183821399</v>
      </c>
      <c r="O305" s="385">
        <f t="shared" si="67"/>
        <v>0.32519003293204285</v>
      </c>
      <c r="P305" s="385">
        <f t="shared" si="67"/>
        <v>0.26241459087249852</v>
      </c>
      <c r="Q305" s="385">
        <f t="shared" si="67"/>
        <v>0.53256520183821399</v>
      </c>
      <c r="R305" s="385">
        <f t="shared" si="67"/>
        <v>0</v>
      </c>
      <c r="S305" s="385">
        <f t="shared" si="67"/>
        <v>0</v>
      </c>
      <c r="T305" s="385">
        <f t="shared" si="67"/>
        <v>0</v>
      </c>
      <c r="U305" s="385">
        <f t="shared" si="67"/>
        <v>0</v>
      </c>
      <c r="V305" s="385">
        <f t="shared" si="67"/>
        <v>0</v>
      </c>
      <c r="W305" s="385">
        <f t="shared" si="67"/>
        <v>0</v>
      </c>
      <c r="X305" s="385">
        <f t="shared" si="67"/>
        <v>0</v>
      </c>
      <c r="Y305" s="385">
        <f t="shared" si="67"/>
        <v>0</v>
      </c>
      <c r="AQ305" s="3"/>
    </row>
    <row r="306" spans="2:43" x14ac:dyDescent="0.35">
      <c r="F306" s="28" t="s">
        <v>452</v>
      </c>
      <c r="G306" s="28" t="s">
        <v>254</v>
      </c>
      <c r="J306" s="98">
        <f t="shared" ref="J306:Y306" si="68">J302 * (1 - J304)</f>
        <v>0</v>
      </c>
      <c r="K306" s="98">
        <f t="shared" si="68"/>
        <v>0</v>
      </c>
      <c r="L306" s="98">
        <f t="shared" si="68"/>
        <v>0</v>
      </c>
      <c r="M306" s="98">
        <f t="shared" si="68"/>
        <v>0</v>
      </c>
      <c r="N306" s="98">
        <f t="shared" si="68"/>
        <v>72.05118592760563</v>
      </c>
      <c r="O306" s="98">
        <f t="shared" si="68"/>
        <v>0</v>
      </c>
      <c r="P306" s="98">
        <f t="shared" si="68"/>
        <v>0</v>
      </c>
      <c r="Q306" s="98">
        <f t="shared" si="68"/>
        <v>0</v>
      </c>
      <c r="R306" s="98">
        <f t="shared" si="68"/>
        <v>0</v>
      </c>
      <c r="S306" s="98">
        <f t="shared" si="68"/>
        <v>0</v>
      </c>
      <c r="T306" s="98">
        <f t="shared" si="68"/>
        <v>0</v>
      </c>
      <c r="U306" s="98">
        <f t="shared" si="68"/>
        <v>0</v>
      </c>
      <c r="V306" s="98">
        <f t="shared" si="68"/>
        <v>0</v>
      </c>
      <c r="W306" s="98">
        <f t="shared" si="68"/>
        <v>0</v>
      </c>
      <c r="X306" s="98">
        <f t="shared" si="68"/>
        <v>0</v>
      </c>
      <c r="Y306" s="98">
        <f t="shared" si="68"/>
        <v>0</v>
      </c>
      <c r="AQ306" s="3"/>
    </row>
    <row r="307" spans="2:43" x14ac:dyDescent="0.35">
      <c r="F307" s="67" t="s">
        <v>453</v>
      </c>
      <c r="G307" s="67" t="s">
        <v>254</v>
      </c>
      <c r="H307" s="37"/>
      <c r="I307" s="37"/>
      <c r="J307" s="100">
        <f t="shared" ref="J307:Y307" si="69">J303 * (1 - J305)</f>
        <v>0</v>
      </c>
      <c r="K307" s="100">
        <f t="shared" si="69"/>
        <v>0</v>
      </c>
      <c r="L307" s="100">
        <f t="shared" si="69"/>
        <v>0</v>
      </c>
      <c r="M307" s="100">
        <f t="shared" si="69"/>
        <v>0</v>
      </c>
      <c r="N307" s="100">
        <f t="shared" si="69"/>
        <v>248.69008140425078</v>
      </c>
      <c r="O307" s="100">
        <f t="shared" si="69"/>
        <v>0.25847708271712944</v>
      </c>
      <c r="P307" s="100">
        <f t="shared" si="69"/>
        <v>0</v>
      </c>
      <c r="Q307" s="100">
        <f t="shared" si="69"/>
        <v>0</v>
      </c>
      <c r="R307" s="100">
        <f t="shared" si="69"/>
        <v>0</v>
      </c>
      <c r="S307" s="100">
        <f t="shared" si="69"/>
        <v>0</v>
      </c>
      <c r="T307" s="100">
        <f t="shared" si="69"/>
        <v>0</v>
      </c>
      <c r="U307" s="100">
        <f t="shared" si="69"/>
        <v>0</v>
      </c>
      <c r="V307" s="100">
        <f t="shared" si="69"/>
        <v>0</v>
      </c>
      <c r="W307" s="100">
        <f t="shared" si="69"/>
        <v>0</v>
      </c>
      <c r="X307" s="100">
        <f t="shared" si="69"/>
        <v>0</v>
      </c>
      <c r="Y307" s="100">
        <f t="shared" si="69"/>
        <v>0</v>
      </c>
      <c r="AQ307" s="3"/>
    </row>
    <row r="308" spans="2:43" x14ac:dyDescent="0.35">
      <c r="F308" s="28" t="s">
        <v>454</v>
      </c>
      <c r="G308" s="28" t="s">
        <v>254</v>
      </c>
      <c r="J308" s="121">
        <f t="shared" ref="J308:Y308" si="70">J301 + J306 + J307</f>
        <v>0</v>
      </c>
      <c r="K308" s="121">
        <f t="shared" si="70"/>
        <v>0</v>
      </c>
      <c r="L308" s="121">
        <f t="shared" si="70"/>
        <v>0</v>
      </c>
      <c r="M308" s="121">
        <f t="shared" si="70"/>
        <v>0</v>
      </c>
      <c r="N308" s="121">
        <f t="shared" si="70"/>
        <v>164557.15803030343</v>
      </c>
      <c r="O308" s="121">
        <f t="shared" si="70"/>
        <v>8850.1811550186449</v>
      </c>
      <c r="P308" s="121">
        <f t="shared" si="70"/>
        <v>135208.24981886637</v>
      </c>
      <c r="Q308" s="121">
        <f t="shared" si="70"/>
        <v>0</v>
      </c>
      <c r="R308" s="121">
        <f t="shared" si="70"/>
        <v>0</v>
      </c>
      <c r="S308" s="121">
        <f t="shared" si="70"/>
        <v>0</v>
      </c>
      <c r="T308" s="121">
        <f t="shared" si="70"/>
        <v>12161.310051003624</v>
      </c>
      <c r="U308" s="121">
        <f t="shared" si="70"/>
        <v>0</v>
      </c>
      <c r="V308" s="121">
        <f t="shared" si="70"/>
        <v>0</v>
      </c>
      <c r="W308" s="121">
        <f t="shared" si="70"/>
        <v>0</v>
      </c>
      <c r="X308" s="121">
        <f t="shared" si="70"/>
        <v>36125.02323166062</v>
      </c>
      <c r="Y308" s="121">
        <f t="shared" si="70"/>
        <v>0</v>
      </c>
      <c r="AQ308" s="3"/>
    </row>
    <row r="309" spans="2:43" x14ac:dyDescent="0.35">
      <c r="D309" s="32"/>
      <c r="AQ309" s="3"/>
    </row>
    <row r="310" spans="2:43" x14ac:dyDescent="0.35">
      <c r="B310" s="30" t="s">
        <v>934</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C310" s="30"/>
      <c r="AD310" s="30"/>
      <c r="AE310" s="30"/>
      <c r="AF310" s="30"/>
      <c r="AG310" s="30"/>
      <c r="AH310" s="30"/>
      <c r="AI310" s="30"/>
      <c r="AJ310" s="30"/>
      <c r="AK310" s="30"/>
      <c r="AL310" s="30"/>
      <c r="AM310" s="30"/>
      <c r="AN310" s="30"/>
      <c r="AO310" s="30"/>
      <c r="AQ310" s="30"/>
    </row>
    <row r="311" spans="2:43" x14ac:dyDescent="0.35">
      <c r="C311" s="32"/>
      <c r="AQ311" s="3"/>
    </row>
    <row r="312" spans="2:43" x14ac:dyDescent="0.35">
      <c r="C312" s="29" t="s">
        <v>1038</v>
      </c>
      <c r="AQ312" s="3"/>
    </row>
    <row r="313" spans="2:43" x14ac:dyDescent="0.35">
      <c r="C313" s="32"/>
      <c r="AQ313" s="3"/>
    </row>
    <row r="314" spans="2:43" x14ac:dyDescent="0.35">
      <c r="C314" s="32"/>
      <c r="E314" s="32" t="s">
        <v>450</v>
      </c>
      <c r="AQ314" s="3"/>
    </row>
    <row r="315" spans="2:43" x14ac:dyDescent="0.35">
      <c r="C315" s="32"/>
      <c r="F315" s="78" t="s">
        <v>247</v>
      </c>
      <c r="G315" s="23" t="s">
        <v>167</v>
      </c>
      <c r="H315" s="23"/>
      <c r="I315" s="23"/>
      <c r="J315" s="154">
        <f>IF(J$39, J$45, J$34)</f>
        <v>0.29370961868251882</v>
      </c>
      <c r="K315" s="154">
        <f t="shared" ref="K315:Y315" si="71">IF(K$39, K$45, K$34)</f>
        <v>0.29370961868251882</v>
      </c>
      <c r="L315" s="154">
        <f t="shared" si="71"/>
        <v>0.29370961868251882</v>
      </c>
      <c r="M315" s="154">
        <f t="shared" si="71"/>
        <v>0.29370961868251882</v>
      </c>
      <c r="N315" s="154">
        <f t="shared" si="71"/>
        <v>0.29370961868251882</v>
      </c>
      <c r="O315" s="154">
        <f t="shared" si="71"/>
        <v>0</v>
      </c>
      <c r="P315" s="154">
        <f t="shared" si="71"/>
        <v>0</v>
      </c>
      <c r="Q315" s="154">
        <f t="shared" si="71"/>
        <v>0.29370961868251882</v>
      </c>
      <c r="R315" s="154">
        <f t="shared" si="71"/>
        <v>0</v>
      </c>
      <c r="S315" s="154">
        <f t="shared" si="71"/>
        <v>0</v>
      </c>
      <c r="T315" s="154">
        <f t="shared" si="71"/>
        <v>0</v>
      </c>
      <c r="U315" s="154">
        <f t="shared" si="71"/>
        <v>0</v>
      </c>
      <c r="V315" s="154">
        <f t="shared" si="71"/>
        <v>0</v>
      </c>
      <c r="W315" s="154">
        <f t="shared" si="71"/>
        <v>0</v>
      </c>
      <c r="X315" s="154">
        <f t="shared" si="71"/>
        <v>0</v>
      </c>
      <c r="Y315" s="154">
        <f t="shared" si="71"/>
        <v>0</v>
      </c>
      <c r="AQ315" s="3"/>
    </row>
    <row r="316" spans="2:43" x14ac:dyDescent="0.35">
      <c r="C316" s="32"/>
      <c r="F316" s="72" t="s">
        <v>248</v>
      </c>
      <c r="G316" t="s">
        <v>167</v>
      </c>
      <c r="J316" s="332">
        <f t="shared" ref="J316:Y317" si="72">IF(J$39, J$45, J$34)</f>
        <v>0.29370961868251882</v>
      </c>
      <c r="K316" s="332">
        <f t="shared" si="72"/>
        <v>0.29370961868251882</v>
      </c>
      <c r="L316" s="332">
        <f t="shared" si="72"/>
        <v>0.29370961868251882</v>
      </c>
      <c r="M316" s="332">
        <f t="shared" si="72"/>
        <v>0.29370961868251882</v>
      </c>
      <c r="N316" s="332">
        <f t="shared" si="72"/>
        <v>0.29370961868251882</v>
      </c>
      <c r="O316" s="332">
        <f t="shared" si="72"/>
        <v>0</v>
      </c>
      <c r="P316" s="332">
        <f t="shared" si="72"/>
        <v>0</v>
      </c>
      <c r="Q316" s="332">
        <f t="shared" si="72"/>
        <v>0.29370961868251882</v>
      </c>
      <c r="R316" s="332">
        <f t="shared" si="72"/>
        <v>0</v>
      </c>
      <c r="S316" s="332">
        <f t="shared" si="72"/>
        <v>0</v>
      </c>
      <c r="T316" s="332">
        <f t="shared" si="72"/>
        <v>0</v>
      </c>
      <c r="U316" s="332">
        <f t="shared" si="72"/>
        <v>0</v>
      </c>
      <c r="V316" s="332">
        <f t="shared" si="72"/>
        <v>0</v>
      </c>
      <c r="W316" s="332">
        <f t="shared" si="72"/>
        <v>0</v>
      </c>
      <c r="X316" s="332">
        <f t="shared" si="72"/>
        <v>0</v>
      </c>
      <c r="Y316" s="332">
        <f t="shared" si="72"/>
        <v>0</v>
      </c>
      <c r="AQ316" s="3"/>
    </row>
    <row r="317" spans="2:43" x14ac:dyDescent="0.35">
      <c r="C317" s="32"/>
      <c r="F317" s="80" t="s">
        <v>249</v>
      </c>
      <c r="G317" s="37" t="s">
        <v>167</v>
      </c>
      <c r="H317" s="37"/>
      <c r="I317" s="37"/>
      <c r="J317" s="155">
        <f t="shared" si="72"/>
        <v>0.29370961868251882</v>
      </c>
      <c r="K317" s="155">
        <f t="shared" si="72"/>
        <v>0.29370961868251882</v>
      </c>
      <c r="L317" s="155">
        <f t="shared" si="72"/>
        <v>0.29370961868251882</v>
      </c>
      <c r="M317" s="155">
        <f t="shared" si="72"/>
        <v>0.29370961868251882</v>
      </c>
      <c r="N317" s="155">
        <f t="shared" si="72"/>
        <v>0.29370961868251882</v>
      </c>
      <c r="O317" s="155">
        <f t="shared" si="72"/>
        <v>0</v>
      </c>
      <c r="P317" s="155">
        <f t="shared" si="72"/>
        <v>0</v>
      </c>
      <c r="Q317" s="155">
        <f t="shared" si="72"/>
        <v>0.29370961868251882</v>
      </c>
      <c r="R317" s="155">
        <f t="shared" si="72"/>
        <v>0</v>
      </c>
      <c r="S317" s="155">
        <f t="shared" si="72"/>
        <v>0</v>
      </c>
      <c r="T317" s="155">
        <f t="shared" si="72"/>
        <v>0</v>
      </c>
      <c r="U317" s="155">
        <f t="shared" si="72"/>
        <v>0</v>
      </c>
      <c r="V317" s="155">
        <f t="shared" si="72"/>
        <v>0</v>
      </c>
      <c r="W317" s="155">
        <f t="shared" si="72"/>
        <v>0</v>
      </c>
      <c r="X317" s="155">
        <f t="shared" si="72"/>
        <v>0</v>
      </c>
      <c r="Y317" s="155">
        <f t="shared" si="72"/>
        <v>0</v>
      </c>
      <c r="AQ317" s="3"/>
    </row>
    <row r="318" spans="2:43" x14ac:dyDescent="0.35">
      <c r="C318" s="32"/>
      <c r="F318" s="72" t="s">
        <v>212</v>
      </c>
      <c r="G318" t="s">
        <v>167</v>
      </c>
      <c r="J318" s="332">
        <f t="shared" ref="J318:Y318" si="73">IF(J$39, J46, J$34)</f>
        <v>0.29370961868251882</v>
      </c>
      <c r="K318" s="332">
        <f t="shared" si="73"/>
        <v>0.29370961868251882</v>
      </c>
      <c r="L318" s="332">
        <f t="shared" si="73"/>
        <v>0.29370961868251882</v>
      </c>
      <c r="M318" s="332">
        <f t="shared" si="73"/>
        <v>0.29370961868251882</v>
      </c>
      <c r="N318" s="332">
        <f t="shared" si="73"/>
        <v>0.29370961868251882</v>
      </c>
      <c r="O318" s="332">
        <f t="shared" si="73"/>
        <v>0</v>
      </c>
      <c r="P318" s="332">
        <f t="shared" si="73"/>
        <v>0</v>
      </c>
      <c r="Q318" s="332">
        <f t="shared" si="73"/>
        <v>0.29370961868251882</v>
      </c>
      <c r="R318" s="332">
        <f t="shared" si="73"/>
        <v>1</v>
      </c>
      <c r="S318" s="332">
        <f t="shared" si="73"/>
        <v>1</v>
      </c>
      <c r="T318" s="332">
        <f t="shared" si="73"/>
        <v>1</v>
      </c>
      <c r="U318" s="332">
        <f t="shared" si="73"/>
        <v>1</v>
      </c>
      <c r="V318" s="332">
        <f t="shared" si="73"/>
        <v>1</v>
      </c>
      <c r="W318" s="332">
        <f t="shared" si="73"/>
        <v>1</v>
      </c>
      <c r="X318" s="332">
        <f t="shared" si="73"/>
        <v>1</v>
      </c>
      <c r="Y318" s="332">
        <f t="shared" si="73"/>
        <v>1</v>
      </c>
      <c r="AQ318" s="3"/>
    </row>
    <row r="319" spans="2:43" x14ac:dyDescent="0.35">
      <c r="C319" s="32"/>
      <c r="F319" s="72" t="s">
        <v>250</v>
      </c>
      <c r="G319" t="s">
        <v>167</v>
      </c>
      <c r="J319" s="332">
        <f t="shared" ref="J319:Y319" si="74">IF(J$39, J47, J$34)</f>
        <v>0.29370961868251882</v>
      </c>
      <c r="K319" s="332">
        <f t="shared" si="74"/>
        <v>0.29370961868251882</v>
      </c>
      <c r="L319" s="332">
        <f t="shared" si="74"/>
        <v>0.29370961868251882</v>
      </c>
      <c r="M319" s="332">
        <f t="shared" si="74"/>
        <v>0.29370961868251882</v>
      </c>
      <c r="N319" s="332">
        <f t="shared" si="74"/>
        <v>0.29370961868251882</v>
      </c>
      <c r="O319" s="332">
        <f t="shared" si="74"/>
        <v>0</v>
      </c>
      <c r="P319" s="332">
        <f t="shared" si="74"/>
        <v>0</v>
      </c>
      <c r="Q319" s="332">
        <f t="shared" si="74"/>
        <v>0.29370961868251882</v>
      </c>
      <c r="R319" s="332">
        <f t="shared" si="74"/>
        <v>0</v>
      </c>
      <c r="S319" s="332">
        <f t="shared" si="74"/>
        <v>0</v>
      </c>
      <c r="T319" s="332">
        <f t="shared" si="74"/>
        <v>0</v>
      </c>
      <c r="U319" s="332">
        <f t="shared" si="74"/>
        <v>0</v>
      </c>
      <c r="V319" s="332">
        <f t="shared" si="74"/>
        <v>0</v>
      </c>
      <c r="W319" s="332">
        <f t="shared" si="74"/>
        <v>0</v>
      </c>
      <c r="X319" s="332">
        <f t="shared" si="74"/>
        <v>0</v>
      </c>
      <c r="Y319" s="332">
        <f t="shared" si="74"/>
        <v>0</v>
      </c>
      <c r="AQ319" s="3"/>
    </row>
    <row r="320" spans="2:43" x14ac:dyDescent="0.35">
      <c r="C320" s="32"/>
      <c r="F320" s="72" t="s">
        <v>252</v>
      </c>
      <c r="G320" t="s">
        <v>167</v>
      </c>
      <c r="J320" s="332">
        <f t="shared" ref="J320:Y320" si="75">IF(J$39, J48, J$34)</f>
        <v>0.29370961868251882</v>
      </c>
      <c r="K320" s="332">
        <f t="shared" si="75"/>
        <v>0.29370961868251882</v>
      </c>
      <c r="L320" s="332">
        <f t="shared" si="75"/>
        <v>0.29370961868251882</v>
      </c>
      <c r="M320" s="332">
        <f t="shared" si="75"/>
        <v>0.29370961868251882</v>
      </c>
      <c r="N320" s="332">
        <f t="shared" si="75"/>
        <v>0.29370961868251882</v>
      </c>
      <c r="O320" s="332">
        <f t="shared" si="75"/>
        <v>0</v>
      </c>
      <c r="P320" s="332">
        <f t="shared" si="75"/>
        <v>0</v>
      </c>
      <c r="Q320" s="332">
        <f t="shared" si="75"/>
        <v>0.29370961868251882</v>
      </c>
      <c r="R320" s="332">
        <f t="shared" si="75"/>
        <v>0</v>
      </c>
      <c r="S320" s="332">
        <f t="shared" si="75"/>
        <v>0</v>
      </c>
      <c r="T320" s="332">
        <f t="shared" si="75"/>
        <v>0</v>
      </c>
      <c r="U320" s="332">
        <f t="shared" si="75"/>
        <v>0</v>
      </c>
      <c r="V320" s="332">
        <f t="shared" si="75"/>
        <v>0</v>
      </c>
      <c r="W320" s="332">
        <f t="shared" si="75"/>
        <v>0</v>
      </c>
      <c r="X320" s="332">
        <f t="shared" si="75"/>
        <v>0</v>
      </c>
      <c r="Y320" s="332">
        <f t="shared" si="75"/>
        <v>0</v>
      </c>
      <c r="AQ320" s="3"/>
    </row>
    <row r="321" spans="3:43" x14ac:dyDescent="0.35">
      <c r="C321" s="32"/>
      <c r="F321" s="80" t="s">
        <v>253</v>
      </c>
      <c r="G321" s="37" t="s">
        <v>167</v>
      </c>
      <c r="H321" s="37"/>
      <c r="I321" s="37"/>
      <c r="J321" s="155">
        <f t="shared" ref="J321:Y321" si="76">IF(J$39, J49, J$34)</f>
        <v>0.29370961868251882</v>
      </c>
      <c r="K321" s="155">
        <f t="shared" si="76"/>
        <v>0.29370961868251882</v>
      </c>
      <c r="L321" s="155">
        <f t="shared" si="76"/>
        <v>0.29370961868251882</v>
      </c>
      <c r="M321" s="155">
        <f t="shared" si="76"/>
        <v>0.29370961868251882</v>
      </c>
      <c r="N321" s="155">
        <f t="shared" si="76"/>
        <v>0.29370961868251882</v>
      </c>
      <c r="O321" s="155">
        <f t="shared" si="76"/>
        <v>0</v>
      </c>
      <c r="P321" s="155">
        <f t="shared" si="76"/>
        <v>0</v>
      </c>
      <c r="Q321" s="155">
        <f t="shared" si="76"/>
        <v>0.29370961868251882</v>
      </c>
      <c r="R321" s="155">
        <f t="shared" si="76"/>
        <v>0</v>
      </c>
      <c r="S321" s="155">
        <f t="shared" si="76"/>
        <v>0</v>
      </c>
      <c r="T321" s="155">
        <f t="shared" si="76"/>
        <v>0</v>
      </c>
      <c r="U321" s="155">
        <f t="shared" si="76"/>
        <v>0</v>
      </c>
      <c r="V321" s="155">
        <f t="shared" si="76"/>
        <v>0</v>
      </c>
      <c r="W321" s="155">
        <f t="shared" si="76"/>
        <v>0</v>
      </c>
      <c r="X321" s="155">
        <f t="shared" si="76"/>
        <v>0</v>
      </c>
      <c r="Y321" s="155">
        <f t="shared" si="76"/>
        <v>0</v>
      </c>
      <c r="AQ321" s="3"/>
    </row>
    <row r="322" spans="3:43" x14ac:dyDescent="0.35">
      <c r="C322" s="32"/>
      <c r="AQ322" s="3"/>
    </row>
    <row r="323" spans="3:43" x14ac:dyDescent="0.35">
      <c r="C323" s="32"/>
      <c r="E323" s="32" t="s">
        <v>451</v>
      </c>
      <c r="AQ323" s="3"/>
    </row>
    <row r="324" spans="3:43" x14ac:dyDescent="0.35">
      <c r="C324" s="32"/>
      <c r="F324" s="78" t="s">
        <v>247</v>
      </c>
      <c r="G324" s="23" t="s">
        <v>167</v>
      </c>
      <c r="H324" s="23"/>
      <c r="I324" s="23"/>
      <c r="J324" s="154">
        <f>IF(J$39, J$45, J$35)</f>
        <v>0.53256520183821399</v>
      </c>
      <c r="K324" s="154">
        <f t="shared" ref="K324:Y326" si="77">IF(K$39, K$45, K$35)</f>
        <v>0.53256520183821399</v>
      </c>
      <c r="L324" s="154">
        <f t="shared" si="77"/>
        <v>0.53256520183821399</v>
      </c>
      <c r="M324" s="154">
        <f t="shared" si="77"/>
        <v>0.53256520183821399</v>
      </c>
      <c r="N324" s="154">
        <f t="shared" si="77"/>
        <v>0.53256520183821399</v>
      </c>
      <c r="O324" s="154">
        <f t="shared" si="77"/>
        <v>0.32519003293204285</v>
      </c>
      <c r="P324" s="154">
        <f t="shared" si="77"/>
        <v>0.26241459087249852</v>
      </c>
      <c r="Q324" s="154">
        <f t="shared" si="77"/>
        <v>0.53256520183821399</v>
      </c>
      <c r="R324" s="154">
        <f t="shared" si="77"/>
        <v>0</v>
      </c>
      <c r="S324" s="154">
        <f t="shared" si="77"/>
        <v>0</v>
      </c>
      <c r="T324" s="154">
        <f t="shared" si="77"/>
        <v>0</v>
      </c>
      <c r="U324" s="154">
        <f t="shared" si="77"/>
        <v>0</v>
      </c>
      <c r="V324" s="154">
        <f t="shared" si="77"/>
        <v>0</v>
      </c>
      <c r="W324" s="154">
        <f t="shared" si="77"/>
        <v>0</v>
      </c>
      <c r="X324" s="154">
        <f t="shared" si="77"/>
        <v>0</v>
      </c>
      <c r="Y324" s="154">
        <f t="shared" si="77"/>
        <v>0</v>
      </c>
      <c r="AQ324" s="3"/>
    </row>
    <row r="325" spans="3:43" x14ac:dyDescent="0.35">
      <c r="C325" s="32"/>
      <c r="F325" s="72" t="s">
        <v>248</v>
      </c>
      <c r="G325" t="s">
        <v>167</v>
      </c>
      <c r="J325" s="332">
        <f t="shared" ref="J325:J326" si="78">IF(J$39, J$45, J$35)</f>
        <v>0.53256520183821399</v>
      </c>
      <c r="K325" s="332">
        <f t="shared" si="77"/>
        <v>0.53256520183821399</v>
      </c>
      <c r="L325" s="332">
        <f t="shared" si="77"/>
        <v>0.53256520183821399</v>
      </c>
      <c r="M325" s="332">
        <f t="shared" si="77"/>
        <v>0.53256520183821399</v>
      </c>
      <c r="N325" s="332">
        <f t="shared" si="77"/>
        <v>0.53256520183821399</v>
      </c>
      <c r="O325" s="332">
        <f t="shared" si="77"/>
        <v>0.32519003293204285</v>
      </c>
      <c r="P325" s="332">
        <f t="shared" si="77"/>
        <v>0.26241459087249852</v>
      </c>
      <c r="Q325" s="332">
        <f t="shared" si="77"/>
        <v>0.53256520183821399</v>
      </c>
      <c r="R325" s="332">
        <f t="shared" si="77"/>
        <v>0</v>
      </c>
      <c r="S325" s="332">
        <f t="shared" si="77"/>
        <v>0</v>
      </c>
      <c r="T325" s="332">
        <f t="shared" si="77"/>
        <v>0</v>
      </c>
      <c r="U325" s="332">
        <f t="shared" si="77"/>
        <v>0</v>
      </c>
      <c r="V325" s="332">
        <f t="shared" si="77"/>
        <v>0</v>
      </c>
      <c r="W325" s="332">
        <f t="shared" si="77"/>
        <v>0</v>
      </c>
      <c r="X325" s="332">
        <f t="shared" si="77"/>
        <v>0</v>
      </c>
      <c r="Y325" s="332">
        <f t="shared" si="77"/>
        <v>0</v>
      </c>
      <c r="AQ325" s="3"/>
    </row>
    <row r="326" spans="3:43" x14ac:dyDescent="0.35">
      <c r="C326" s="32"/>
      <c r="F326" s="80" t="s">
        <v>249</v>
      </c>
      <c r="G326" s="37" t="s">
        <v>167</v>
      </c>
      <c r="H326" s="37"/>
      <c r="I326" s="37"/>
      <c r="J326" s="155">
        <f t="shared" si="78"/>
        <v>0.53256520183821399</v>
      </c>
      <c r="K326" s="155">
        <f t="shared" si="77"/>
        <v>0.53256520183821399</v>
      </c>
      <c r="L326" s="155">
        <f t="shared" si="77"/>
        <v>0.53256520183821399</v>
      </c>
      <c r="M326" s="155">
        <f t="shared" si="77"/>
        <v>0.53256520183821399</v>
      </c>
      <c r="N326" s="155">
        <f t="shared" si="77"/>
        <v>0.53256520183821399</v>
      </c>
      <c r="O326" s="155">
        <f t="shared" si="77"/>
        <v>0.32519003293204285</v>
      </c>
      <c r="P326" s="155">
        <f t="shared" si="77"/>
        <v>0.26241459087249852</v>
      </c>
      <c r="Q326" s="155">
        <f t="shared" si="77"/>
        <v>0.53256520183821399</v>
      </c>
      <c r="R326" s="155">
        <f t="shared" si="77"/>
        <v>0</v>
      </c>
      <c r="S326" s="155">
        <f t="shared" si="77"/>
        <v>0</v>
      </c>
      <c r="T326" s="155">
        <f t="shared" si="77"/>
        <v>0</v>
      </c>
      <c r="U326" s="155">
        <f t="shared" si="77"/>
        <v>0</v>
      </c>
      <c r="V326" s="155">
        <f t="shared" si="77"/>
        <v>0</v>
      </c>
      <c r="W326" s="155">
        <f t="shared" si="77"/>
        <v>0</v>
      </c>
      <c r="X326" s="155">
        <f t="shared" si="77"/>
        <v>0</v>
      </c>
      <c r="Y326" s="155">
        <f t="shared" si="77"/>
        <v>0</v>
      </c>
      <c r="AQ326" s="3"/>
    </row>
    <row r="327" spans="3:43" x14ac:dyDescent="0.35">
      <c r="C327" s="32"/>
      <c r="F327" s="72" t="s">
        <v>212</v>
      </c>
      <c r="G327" t="s">
        <v>167</v>
      </c>
      <c r="J327" s="332">
        <f t="shared" ref="J327:Y327" si="79">IF(J$39, J46, J$35)</f>
        <v>0.53256520183821399</v>
      </c>
      <c r="K327" s="332">
        <f t="shared" si="79"/>
        <v>0.53256520183821399</v>
      </c>
      <c r="L327" s="332">
        <f t="shared" si="79"/>
        <v>0.53256520183821399</v>
      </c>
      <c r="M327" s="332">
        <f t="shared" si="79"/>
        <v>0.53256520183821399</v>
      </c>
      <c r="N327" s="332">
        <f t="shared" si="79"/>
        <v>0.53256520183821399</v>
      </c>
      <c r="O327" s="332">
        <f t="shared" si="79"/>
        <v>0.32519003293204285</v>
      </c>
      <c r="P327" s="332">
        <f t="shared" si="79"/>
        <v>0.26241459087249852</v>
      </c>
      <c r="Q327" s="332">
        <f t="shared" si="79"/>
        <v>0.53256520183821399</v>
      </c>
      <c r="R327" s="332">
        <f t="shared" si="79"/>
        <v>1</v>
      </c>
      <c r="S327" s="332">
        <f t="shared" si="79"/>
        <v>1</v>
      </c>
      <c r="T327" s="332">
        <f t="shared" si="79"/>
        <v>1</v>
      </c>
      <c r="U327" s="332">
        <f t="shared" si="79"/>
        <v>1</v>
      </c>
      <c r="V327" s="332">
        <f t="shared" si="79"/>
        <v>1</v>
      </c>
      <c r="W327" s="332">
        <f t="shared" si="79"/>
        <v>1</v>
      </c>
      <c r="X327" s="332">
        <f t="shared" si="79"/>
        <v>1</v>
      </c>
      <c r="Y327" s="332">
        <f t="shared" si="79"/>
        <v>1</v>
      </c>
      <c r="AQ327" s="3"/>
    </row>
    <row r="328" spans="3:43" x14ac:dyDescent="0.35">
      <c r="C328" s="32"/>
      <c r="F328" s="72" t="s">
        <v>250</v>
      </c>
      <c r="G328" t="s">
        <v>167</v>
      </c>
      <c r="J328" s="332">
        <f t="shared" ref="J328:Y328" si="80">IF(J$39, J47, J$35)</f>
        <v>0.53256520183821399</v>
      </c>
      <c r="K328" s="332">
        <f t="shared" si="80"/>
        <v>0.53256520183821399</v>
      </c>
      <c r="L328" s="332">
        <f t="shared" si="80"/>
        <v>0.53256520183821399</v>
      </c>
      <c r="M328" s="332">
        <f t="shared" si="80"/>
        <v>0.53256520183821399</v>
      </c>
      <c r="N328" s="332">
        <f t="shared" si="80"/>
        <v>0.53256520183821399</v>
      </c>
      <c r="O328" s="332">
        <f t="shared" si="80"/>
        <v>0.32519003293204285</v>
      </c>
      <c r="P328" s="332">
        <f t="shared" si="80"/>
        <v>0.26241459087249852</v>
      </c>
      <c r="Q328" s="332">
        <f t="shared" si="80"/>
        <v>0.53256520183821399</v>
      </c>
      <c r="R328" s="332">
        <f t="shared" si="80"/>
        <v>0</v>
      </c>
      <c r="S328" s="332">
        <f t="shared" si="80"/>
        <v>0</v>
      </c>
      <c r="T328" s="332">
        <f t="shared" si="80"/>
        <v>0</v>
      </c>
      <c r="U328" s="332">
        <f t="shared" si="80"/>
        <v>0</v>
      </c>
      <c r="V328" s="332">
        <f t="shared" si="80"/>
        <v>0</v>
      </c>
      <c r="W328" s="332">
        <f t="shared" si="80"/>
        <v>0</v>
      </c>
      <c r="X328" s="332">
        <f t="shared" si="80"/>
        <v>0</v>
      </c>
      <c r="Y328" s="332">
        <f t="shared" si="80"/>
        <v>0</v>
      </c>
      <c r="AQ328" s="3"/>
    </row>
    <row r="329" spans="3:43" x14ac:dyDescent="0.35">
      <c r="C329" s="32"/>
      <c r="F329" s="72" t="s">
        <v>252</v>
      </c>
      <c r="G329" t="s">
        <v>167</v>
      </c>
      <c r="J329" s="332">
        <f t="shared" ref="J329:Y329" si="81">IF(J$39, J48, J$35)</f>
        <v>0.53256520183821399</v>
      </c>
      <c r="K329" s="332">
        <f t="shared" si="81"/>
        <v>0.53256520183821399</v>
      </c>
      <c r="L329" s="332">
        <f t="shared" si="81"/>
        <v>0.53256520183821399</v>
      </c>
      <c r="M329" s="332">
        <f t="shared" si="81"/>
        <v>0.53256520183821399</v>
      </c>
      <c r="N329" s="332">
        <f t="shared" si="81"/>
        <v>0.53256520183821399</v>
      </c>
      <c r="O329" s="332">
        <f t="shared" si="81"/>
        <v>0.32519003293204285</v>
      </c>
      <c r="P329" s="332">
        <f t="shared" si="81"/>
        <v>0.26241459087249852</v>
      </c>
      <c r="Q329" s="332">
        <f t="shared" si="81"/>
        <v>0.53256520183821399</v>
      </c>
      <c r="R329" s="332">
        <f t="shared" si="81"/>
        <v>0</v>
      </c>
      <c r="S329" s="332">
        <f t="shared" si="81"/>
        <v>0</v>
      </c>
      <c r="T329" s="332">
        <f t="shared" si="81"/>
        <v>0</v>
      </c>
      <c r="U329" s="332">
        <f t="shared" si="81"/>
        <v>0</v>
      </c>
      <c r="V329" s="332">
        <f t="shared" si="81"/>
        <v>0</v>
      </c>
      <c r="W329" s="332">
        <f t="shared" si="81"/>
        <v>0</v>
      </c>
      <c r="X329" s="332">
        <f t="shared" si="81"/>
        <v>0</v>
      </c>
      <c r="Y329" s="332">
        <f t="shared" si="81"/>
        <v>0</v>
      </c>
      <c r="AQ329" s="3"/>
    </row>
    <row r="330" spans="3:43" x14ac:dyDescent="0.35">
      <c r="C330" s="32"/>
      <c r="F330" s="80" t="s">
        <v>253</v>
      </c>
      <c r="G330" s="37" t="s">
        <v>167</v>
      </c>
      <c r="H330" s="37"/>
      <c r="I330" s="37"/>
      <c r="J330" s="155">
        <f t="shared" ref="J330:Y330" si="82">IF(J$39, J49, J$35)</f>
        <v>0.53256520183821399</v>
      </c>
      <c r="K330" s="155">
        <f t="shared" si="82"/>
        <v>0.53256520183821399</v>
      </c>
      <c r="L330" s="155">
        <f t="shared" si="82"/>
        <v>0.53256520183821399</v>
      </c>
      <c r="M330" s="155">
        <f t="shared" si="82"/>
        <v>0.53256520183821399</v>
      </c>
      <c r="N330" s="155">
        <f t="shared" si="82"/>
        <v>0.53256520183821399</v>
      </c>
      <c r="O330" s="155">
        <f t="shared" si="82"/>
        <v>0.32519003293204285</v>
      </c>
      <c r="P330" s="155">
        <f t="shared" si="82"/>
        <v>0.26241459087249852</v>
      </c>
      <c r="Q330" s="155">
        <f t="shared" si="82"/>
        <v>0.53256520183821399</v>
      </c>
      <c r="R330" s="155">
        <f t="shared" si="82"/>
        <v>0</v>
      </c>
      <c r="S330" s="155">
        <f t="shared" si="82"/>
        <v>0</v>
      </c>
      <c r="T330" s="155">
        <f t="shared" si="82"/>
        <v>0</v>
      </c>
      <c r="U330" s="155">
        <f t="shared" si="82"/>
        <v>0</v>
      </c>
      <c r="V330" s="155">
        <f t="shared" si="82"/>
        <v>0</v>
      </c>
      <c r="W330" s="155">
        <f t="shared" si="82"/>
        <v>0</v>
      </c>
      <c r="X330" s="155">
        <f t="shared" si="82"/>
        <v>0</v>
      </c>
      <c r="Y330" s="155">
        <f t="shared" si="82"/>
        <v>0</v>
      </c>
      <c r="AQ330" s="3"/>
    </row>
    <row r="331" spans="3:43" x14ac:dyDescent="0.35">
      <c r="C331" s="32"/>
      <c r="AQ331" s="3"/>
    </row>
    <row r="332" spans="3:43" x14ac:dyDescent="0.35">
      <c r="C332" s="31" t="str">
        <f ca="1">INDEX('Version control'!$H$34:$H$57,MATCH($A$1,'Version control'!$F$34:$F$57,0),1)&amp;"-D: No residual volume discounting"</f>
        <v>Section 104-D: No residual volume discounting</v>
      </c>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Q332" s="3"/>
    </row>
    <row r="333" spans="3:43" x14ac:dyDescent="0.35">
      <c r="C333" s="32"/>
      <c r="AQ333" s="3"/>
    </row>
    <row r="334" spans="3:43" x14ac:dyDescent="0.35">
      <c r="E334" s="32" t="s">
        <v>971</v>
      </c>
      <c r="G334" s="13"/>
      <c r="I334" t="s">
        <v>154</v>
      </c>
      <c r="AQ334" s="3"/>
    </row>
    <row r="335" spans="3:43" x14ac:dyDescent="0.35">
      <c r="E335" s="32"/>
      <c r="F335" s="78" t="s">
        <v>247</v>
      </c>
      <c r="G335" s="78" t="s">
        <v>207</v>
      </c>
      <c r="H335" s="23"/>
      <c r="I335" s="23"/>
      <c r="J335" s="83"/>
      <c r="K335" s="126">
        <f t="shared" ref="K335:P341" si="83">(1 - K315) * K105</f>
        <v>0</v>
      </c>
      <c r="L335" s="126">
        <f t="shared" si="83"/>
        <v>0</v>
      </c>
      <c r="M335" s="126">
        <f t="shared" si="83"/>
        <v>0</v>
      </c>
      <c r="N335" s="126">
        <f t="shared" si="83"/>
        <v>0</v>
      </c>
      <c r="O335" s="126">
        <f t="shared" si="83"/>
        <v>0</v>
      </c>
      <c r="P335" s="126">
        <f t="shared" si="83"/>
        <v>0</v>
      </c>
      <c r="Q335" s="83"/>
      <c r="R335" s="126">
        <f t="shared" ref="R335:Y341" si="84">(1 - R315) * R105</f>
        <v>0</v>
      </c>
      <c r="S335" s="126">
        <f t="shared" si="84"/>
        <v>0</v>
      </c>
      <c r="T335" s="126">
        <f t="shared" si="84"/>
        <v>0</v>
      </c>
      <c r="U335" s="126">
        <f t="shared" si="84"/>
        <v>0</v>
      </c>
      <c r="V335" s="126">
        <f t="shared" si="84"/>
        <v>0</v>
      </c>
      <c r="W335" s="126">
        <f t="shared" si="84"/>
        <v>0</v>
      </c>
      <c r="X335" s="126">
        <f t="shared" si="84"/>
        <v>0</v>
      </c>
      <c r="Y335" s="126">
        <f t="shared" si="84"/>
        <v>0</v>
      </c>
      <c r="AQ335" s="3"/>
    </row>
    <row r="336" spans="3:43" x14ac:dyDescent="0.35">
      <c r="E336" s="32"/>
      <c r="F336" s="72" t="s">
        <v>248</v>
      </c>
      <c r="G336" s="72" t="s">
        <v>207</v>
      </c>
      <c r="J336" s="331"/>
      <c r="K336" s="330">
        <f t="shared" si="83"/>
        <v>0</v>
      </c>
      <c r="L336" s="330">
        <f t="shared" si="83"/>
        <v>0</v>
      </c>
      <c r="M336" s="330">
        <f t="shared" si="83"/>
        <v>0</v>
      </c>
      <c r="N336" s="330">
        <f t="shared" si="83"/>
        <v>0</v>
      </c>
      <c r="O336" s="330">
        <f t="shared" si="83"/>
        <v>0</v>
      </c>
      <c r="P336" s="330">
        <f t="shared" si="83"/>
        <v>0</v>
      </c>
      <c r="Q336" s="331"/>
      <c r="R336" s="330">
        <f t="shared" si="84"/>
        <v>0</v>
      </c>
      <c r="S336" s="330">
        <f t="shared" si="84"/>
        <v>0</v>
      </c>
      <c r="T336" s="330">
        <f t="shared" si="84"/>
        <v>0</v>
      </c>
      <c r="U336" s="330">
        <f t="shared" si="84"/>
        <v>0</v>
      </c>
      <c r="V336" s="330">
        <f t="shared" si="84"/>
        <v>0</v>
      </c>
      <c r="W336" s="330">
        <f t="shared" si="84"/>
        <v>0</v>
      </c>
      <c r="X336" s="330">
        <f t="shared" si="84"/>
        <v>0</v>
      </c>
      <c r="Y336" s="330">
        <f t="shared" si="84"/>
        <v>0</v>
      </c>
      <c r="AQ336" s="3"/>
    </row>
    <row r="337" spans="5:43" x14ac:dyDescent="0.35">
      <c r="E337" s="32"/>
      <c r="F337" s="72" t="s">
        <v>249</v>
      </c>
      <c r="G337" s="72" t="s">
        <v>207</v>
      </c>
      <c r="J337" s="331"/>
      <c r="K337" s="330">
        <f t="shared" si="83"/>
        <v>0</v>
      </c>
      <c r="L337" s="330">
        <f t="shared" si="83"/>
        <v>0</v>
      </c>
      <c r="M337" s="330">
        <f t="shared" si="83"/>
        <v>0</v>
      </c>
      <c r="N337" s="330">
        <f t="shared" si="83"/>
        <v>0</v>
      </c>
      <c r="O337" s="330">
        <f t="shared" si="83"/>
        <v>0</v>
      </c>
      <c r="P337" s="330">
        <f t="shared" si="83"/>
        <v>0</v>
      </c>
      <c r="Q337" s="331"/>
      <c r="R337" s="330">
        <f t="shared" si="84"/>
        <v>0</v>
      </c>
      <c r="S337" s="330">
        <f t="shared" si="84"/>
        <v>0</v>
      </c>
      <c r="T337" s="330">
        <f t="shared" si="84"/>
        <v>0</v>
      </c>
      <c r="U337" s="330">
        <f t="shared" si="84"/>
        <v>0</v>
      </c>
      <c r="V337" s="330">
        <f t="shared" si="84"/>
        <v>0</v>
      </c>
      <c r="W337" s="330">
        <f t="shared" si="84"/>
        <v>0</v>
      </c>
      <c r="X337" s="330">
        <f t="shared" si="84"/>
        <v>0</v>
      </c>
      <c r="Y337" s="330">
        <f t="shared" si="84"/>
        <v>0</v>
      </c>
      <c r="AQ337" s="3"/>
    </row>
    <row r="338" spans="5:43" x14ac:dyDescent="0.35">
      <c r="E338" s="32"/>
      <c r="F338" s="72" t="s">
        <v>212</v>
      </c>
      <c r="G338" s="72" t="s">
        <v>212</v>
      </c>
      <c r="J338" s="331"/>
      <c r="K338" s="330">
        <f t="shared" si="83"/>
        <v>0</v>
      </c>
      <c r="L338" s="330">
        <f t="shared" si="83"/>
        <v>0</v>
      </c>
      <c r="M338" s="330">
        <f t="shared" si="83"/>
        <v>0</v>
      </c>
      <c r="N338" s="330">
        <f t="shared" si="83"/>
        <v>0</v>
      </c>
      <c r="O338" s="330">
        <f t="shared" si="83"/>
        <v>0</v>
      </c>
      <c r="P338" s="330">
        <f t="shared" si="83"/>
        <v>0</v>
      </c>
      <c r="Q338" s="331"/>
      <c r="R338" s="330">
        <f t="shared" si="84"/>
        <v>0</v>
      </c>
      <c r="S338" s="330">
        <f t="shared" si="84"/>
        <v>0</v>
      </c>
      <c r="T338" s="330">
        <f t="shared" si="84"/>
        <v>0</v>
      </c>
      <c r="U338" s="330">
        <f t="shared" si="84"/>
        <v>0</v>
      </c>
      <c r="V338" s="330">
        <f t="shared" si="84"/>
        <v>0</v>
      </c>
      <c r="W338" s="330">
        <f t="shared" si="84"/>
        <v>0</v>
      </c>
      <c r="X338" s="330">
        <f t="shared" si="84"/>
        <v>0</v>
      </c>
      <c r="Y338" s="330">
        <f t="shared" si="84"/>
        <v>0</v>
      </c>
      <c r="AQ338" s="3"/>
    </row>
    <row r="339" spans="5:43" x14ac:dyDescent="0.35">
      <c r="E339" s="32"/>
      <c r="F339" s="72" t="s">
        <v>250</v>
      </c>
      <c r="G339" s="72" t="s">
        <v>251</v>
      </c>
      <c r="J339" s="331"/>
      <c r="K339" s="330">
        <f t="shared" si="83"/>
        <v>0</v>
      </c>
      <c r="L339" s="330">
        <f t="shared" si="83"/>
        <v>0</v>
      </c>
      <c r="M339" s="330">
        <f t="shared" si="83"/>
        <v>0</v>
      </c>
      <c r="N339" s="330">
        <f t="shared" si="83"/>
        <v>0</v>
      </c>
      <c r="O339" s="330">
        <f t="shared" si="83"/>
        <v>0</v>
      </c>
      <c r="P339" s="330">
        <f t="shared" si="83"/>
        <v>0</v>
      </c>
      <c r="Q339" s="331"/>
      <c r="R339" s="330">
        <f t="shared" si="84"/>
        <v>0</v>
      </c>
      <c r="S339" s="330">
        <f t="shared" si="84"/>
        <v>0</v>
      </c>
      <c r="T339" s="330">
        <f t="shared" si="84"/>
        <v>0</v>
      </c>
      <c r="U339" s="330">
        <f t="shared" si="84"/>
        <v>0</v>
      </c>
      <c r="V339" s="330">
        <f t="shared" si="84"/>
        <v>0</v>
      </c>
      <c r="W339" s="330">
        <f t="shared" si="84"/>
        <v>0</v>
      </c>
      <c r="X339" s="330">
        <f t="shared" si="84"/>
        <v>0</v>
      </c>
      <c r="Y339" s="330">
        <f t="shared" si="84"/>
        <v>0</v>
      </c>
      <c r="AQ339" s="3"/>
    </row>
    <row r="340" spans="5:43" x14ac:dyDescent="0.35">
      <c r="E340" s="32"/>
      <c r="F340" s="72" t="s">
        <v>252</v>
      </c>
      <c r="G340" s="72" t="s">
        <v>251</v>
      </c>
      <c r="J340" s="331"/>
      <c r="K340" s="330">
        <f t="shared" si="83"/>
        <v>0</v>
      </c>
      <c r="L340" s="330">
        <f t="shared" si="83"/>
        <v>0</v>
      </c>
      <c r="M340" s="330">
        <f t="shared" si="83"/>
        <v>0</v>
      </c>
      <c r="N340" s="330">
        <f t="shared" si="83"/>
        <v>0</v>
      </c>
      <c r="O340" s="330">
        <f t="shared" si="83"/>
        <v>0</v>
      </c>
      <c r="P340" s="330">
        <f t="shared" si="83"/>
        <v>0</v>
      </c>
      <c r="Q340" s="331"/>
      <c r="R340" s="330">
        <f t="shared" si="84"/>
        <v>0</v>
      </c>
      <c r="S340" s="330">
        <f t="shared" si="84"/>
        <v>0</v>
      </c>
      <c r="T340" s="330">
        <f t="shared" si="84"/>
        <v>0</v>
      </c>
      <c r="U340" s="330">
        <f t="shared" si="84"/>
        <v>0</v>
      </c>
      <c r="V340" s="330">
        <f t="shared" si="84"/>
        <v>0</v>
      </c>
      <c r="W340" s="330">
        <f t="shared" si="84"/>
        <v>0</v>
      </c>
      <c r="X340" s="330">
        <f t="shared" si="84"/>
        <v>0</v>
      </c>
      <c r="Y340" s="330">
        <f t="shared" si="84"/>
        <v>0</v>
      </c>
      <c r="AQ340" s="3"/>
    </row>
    <row r="341" spans="5:43" x14ac:dyDescent="0.35">
      <c r="E341" s="32"/>
      <c r="F341" s="80" t="s">
        <v>253</v>
      </c>
      <c r="G341" s="80" t="s">
        <v>254</v>
      </c>
      <c r="H341" s="37"/>
      <c r="I341" s="37"/>
      <c r="J341" s="81"/>
      <c r="K341" s="100">
        <f t="shared" si="83"/>
        <v>0</v>
      </c>
      <c r="L341" s="100">
        <f t="shared" si="83"/>
        <v>0</v>
      </c>
      <c r="M341" s="100">
        <f t="shared" si="83"/>
        <v>0</v>
      </c>
      <c r="N341" s="100">
        <f t="shared" si="83"/>
        <v>0</v>
      </c>
      <c r="O341" s="100">
        <f t="shared" si="83"/>
        <v>0</v>
      </c>
      <c r="P341" s="100">
        <f t="shared" si="83"/>
        <v>0</v>
      </c>
      <c r="Q341" s="81"/>
      <c r="R341" s="100">
        <f t="shared" si="84"/>
        <v>0</v>
      </c>
      <c r="S341" s="100">
        <f t="shared" si="84"/>
        <v>0</v>
      </c>
      <c r="T341" s="100">
        <f t="shared" si="84"/>
        <v>0</v>
      </c>
      <c r="U341" s="100">
        <f t="shared" si="84"/>
        <v>0</v>
      </c>
      <c r="V341" s="100">
        <f t="shared" si="84"/>
        <v>0</v>
      </c>
      <c r="W341" s="100">
        <f t="shared" si="84"/>
        <v>0</v>
      </c>
      <c r="X341" s="100">
        <f t="shared" si="84"/>
        <v>0</v>
      </c>
      <c r="Y341" s="100">
        <f t="shared" si="84"/>
        <v>0</v>
      </c>
      <c r="AQ341" s="3"/>
    </row>
    <row r="342" spans="5:43" x14ac:dyDescent="0.35">
      <c r="AQ342" s="3"/>
    </row>
    <row r="343" spans="5:43" x14ac:dyDescent="0.35">
      <c r="E343" s="32" t="s">
        <v>972</v>
      </c>
      <c r="G343" s="13"/>
      <c r="I343" t="s">
        <v>154</v>
      </c>
      <c r="AQ343" s="3"/>
    </row>
    <row r="344" spans="5:43" x14ac:dyDescent="0.35">
      <c r="E344" s="32"/>
      <c r="F344" s="78" t="s">
        <v>247</v>
      </c>
      <c r="G344" s="78" t="s">
        <v>207</v>
      </c>
      <c r="H344" s="23"/>
      <c r="I344" s="23"/>
      <c r="J344" s="83"/>
      <c r="K344" s="126">
        <f t="shared" ref="K344:P350" si="85">(1 - K324) * K152</f>
        <v>0</v>
      </c>
      <c r="L344" s="126">
        <f t="shared" si="85"/>
        <v>0</v>
      </c>
      <c r="M344" s="126">
        <f t="shared" si="85"/>
        <v>0</v>
      </c>
      <c r="N344" s="126">
        <f t="shared" si="85"/>
        <v>0</v>
      </c>
      <c r="O344" s="126">
        <f t="shared" si="85"/>
        <v>0</v>
      </c>
      <c r="P344" s="126">
        <f t="shared" si="85"/>
        <v>0</v>
      </c>
      <c r="Q344" s="83"/>
      <c r="R344" s="126">
        <f t="shared" ref="R344:Y350" si="86">(1 - R324) * R152</f>
        <v>0</v>
      </c>
      <c r="S344" s="126">
        <f t="shared" si="86"/>
        <v>0</v>
      </c>
      <c r="T344" s="126">
        <f t="shared" si="86"/>
        <v>0</v>
      </c>
      <c r="U344" s="126">
        <f t="shared" si="86"/>
        <v>0</v>
      </c>
      <c r="V344" s="126">
        <f t="shared" si="86"/>
        <v>0</v>
      </c>
      <c r="W344" s="126">
        <f t="shared" si="86"/>
        <v>0</v>
      </c>
      <c r="X344" s="126">
        <f t="shared" si="86"/>
        <v>0</v>
      </c>
      <c r="Y344" s="126">
        <f t="shared" si="86"/>
        <v>0</v>
      </c>
      <c r="AQ344" s="3"/>
    </row>
    <row r="345" spans="5:43" x14ac:dyDescent="0.35">
      <c r="E345" s="32"/>
      <c r="F345" s="72" t="s">
        <v>248</v>
      </c>
      <c r="G345" s="72" t="s">
        <v>207</v>
      </c>
      <c r="J345" s="331"/>
      <c r="K345" s="330">
        <f t="shared" si="85"/>
        <v>0</v>
      </c>
      <c r="L345" s="330">
        <f t="shared" si="85"/>
        <v>0</v>
      </c>
      <c r="M345" s="330">
        <f t="shared" si="85"/>
        <v>0</v>
      </c>
      <c r="N345" s="330">
        <f t="shared" si="85"/>
        <v>0</v>
      </c>
      <c r="O345" s="330">
        <f t="shared" si="85"/>
        <v>0</v>
      </c>
      <c r="P345" s="330">
        <f t="shared" si="85"/>
        <v>0</v>
      </c>
      <c r="Q345" s="331"/>
      <c r="R345" s="330">
        <f t="shared" si="86"/>
        <v>0</v>
      </c>
      <c r="S345" s="330">
        <f t="shared" si="86"/>
        <v>0</v>
      </c>
      <c r="T345" s="330">
        <f t="shared" si="86"/>
        <v>0</v>
      </c>
      <c r="U345" s="330">
        <f t="shared" si="86"/>
        <v>0</v>
      </c>
      <c r="V345" s="330">
        <f t="shared" si="86"/>
        <v>0</v>
      </c>
      <c r="W345" s="330">
        <f t="shared" si="86"/>
        <v>0</v>
      </c>
      <c r="X345" s="330">
        <f t="shared" si="86"/>
        <v>0</v>
      </c>
      <c r="Y345" s="330">
        <f t="shared" si="86"/>
        <v>0</v>
      </c>
      <c r="AQ345" s="3"/>
    </row>
    <row r="346" spans="5:43" x14ac:dyDescent="0.35">
      <c r="E346" s="32"/>
      <c r="F346" s="72" t="s">
        <v>249</v>
      </c>
      <c r="G346" s="72" t="s">
        <v>207</v>
      </c>
      <c r="J346" s="331"/>
      <c r="K346" s="330">
        <f t="shared" si="85"/>
        <v>0</v>
      </c>
      <c r="L346" s="330">
        <f t="shared" si="85"/>
        <v>0</v>
      </c>
      <c r="M346" s="330">
        <f t="shared" si="85"/>
        <v>0</v>
      </c>
      <c r="N346" s="330">
        <f t="shared" si="85"/>
        <v>0</v>
      </c>
      <c r="O346" s="330">
        <f t="shared" si="85"/>
        <v>0</v>
      </c>
      <c r="P346" s="330">
        <f t="shared" si="85"/>
        <v>0</v>
      </c>
      <c r="Q346" s="331"/>
      <c r="R346" s="330">
        <f t="shared" si="86"/>
        <v>0</v>
      </c>
      <c r="S346" s="330">
        <f t="shared" si="86"/>
        <v>0</v>
      </c>
      <c r="T346" s="330">
        <f t="shared" si="86"/>
        <v>0</v>
      </c>
      <c r="U346" s="330">
        <f t="shared" si="86"/>
        <v>0</v>
      </c>
      <c r="V346" s="330">
        <f t="shared" si="86"/>
        <v>0</v>
      </c>
      <c r="W346" s="330">
        <f t="shared" si="86"/>
        <v>0</v>
      </c>
      <c r="X346" s="330">
        <f t="shared" si="86"/>
        <v>0</v>
      </c>
      <c r="Y346" s="330">
        <f t="shared" si="86"/>
        <v>0</v>
      </c>
      <c r="AQ346" s="3"/>
    </row>
    <row r="347" spans="5:43" x14ac:dyDescent="0.35">
      <c r="E347" s="32"/>
      <c r="F347" s="72" t="s">
        <v>212</v>
      </c>
      <c r="G347" s="72" t="s">
        <v>212</v>
      </c>
      <c r="J347" s="331"/>
      <c r="K347" s="330">
        <f t="shared" si="85"/>
        <v>0</v>
      </c>
      <c r="L347" s="330">
        <f t="shared" si="85"/>
        <v>0</v>
      </c>
      <c r="M347" s="330">
        <f t="shared" si="85"/>
        <v>0</v>
      </c>
      <c r="N347" s="330">
        <f t="shared" si="85"/>
        <v>0</v>
      </c>
      <c r="O347" s="330">
        <f t="shared" si="85"/>
        <v>0</v>
      </c>
      <c r="P347" s="330">
        <f t="shared" si="85"/>
        <v>0</v>
      </c>
      <c r="Q347" s="331"/>
      <c r="R347" s="330">
        <f t="shared" si="86"/>
        <v>0</v>
      </c>
      <c r="S347" s="330">
        <f t="shared" si="86"/>
        <v>0</v>
      </c>
      <c r="T347" s="330">
        <f t="shared" si="86"/>
        <v>0</v>
      </c>
      <c r="U347" s="330">
        <f t="shared" si="86"/>
        <v>0</v>
      </c>
      <c r="V347" s="330">
        <f t="shared" si="86"/>
        <v>0</v>
      </c>
      <c r="W347" s="330">
        <f t="shared" si="86"/>
        <v>0</v>
      </c>
      <c r="X347" s="330">
        <f t="shared" si="86"/>
        <v>0</v>
      </c>
      <c r="Y347" s="330">
        <f t="shared" si="86"/>
        <v>0</v>
      </c>
      <c r="AQ347" s="3"/>
    </row>
    <row r="348" spans="5:43" x14ac:dyDescent="0.35">
      <c r="E348" s="32"/>
      <c r="F348" s="72" t="s">
        <v>250</v>
      </c>
      <c r="G348" s="72" t="s">
        <v>251</v>
      </c>
      <c r="J348" s="331"/>
      <c r="K348" s="330">
        <f t="shared" si="85"/>
        <v>0</v>
      </c>
      <c r="L348" s="330">
        <f t="shared" si="85"/>
        <v>0</v>
      </c>
      <c r="M348" s="330">
        <f t="shared" si="85"/>
        <v>0</v>
      </c>
      <c r="N348" s="330">
        <f t="shared" si="85"/>
        <v>0</v>
      </c>
      <c r="O348" s="330">
        <f t="shared" si="85"/>
        <v>0</v>
      </c>
      <c r="P348" s="330">
        <f t="shared" si="85"/>
        <v>0</v>
      </c>
      <c r="Q348" s="331"/>
      <c r="R348" s="330">
        <f t="shared" si="86"/>
        <v>0</v>
      </c>
      <c r="S348" s="330">
        <f t="shared" si="86"/>
        <v>0</v>
      </c>
      <c r="T348" s="330">
        <f t="shared" si="86"/>
        <v>0</v>
      </c>
      <c r="U348" s="330">
        <f t="shared" si="86"/>
        <v>0</v>
      </c>
      <c r="V348" s="330">
        <f t="shared" si="86"/>
        <v>0</v>
      </c>
      <c r="W348" s="330">
        <f t="shared" si="86"/>
        <v>0</v>
      </c>
      <c r="X348" s="330">
        <f t="shared" si="86"/>
        <v>0</v>
      </c>
      <c r="Y348" s="330">
        <f t="shared" si="86"/>
        <v>0</v>
      </c>
      <c r="AQ348" s="3"/>
    </row>
    <row r="349" spans="5:43" x14ac:dyDescent="0.35">
      <c r="E349" s="32"/>
      <c r="F349" s="72" t="s">
        <v>252</v>
      </c>
      <c r="G349" s="72" t="s">
        <v>251</v>
      </c>
      <c r="J349" s="331"/>
      <c r="K349" s="330">
        <f t="shared" si="85"/>
        <v>0</v>
      </c>
      <c r="L349" s="330">
        <f t="shared" si="85"/>
        <v>0</v>
      </c>
      <c r="M349" s="330">
        <f t="shared" si="85"/>
        <v>0</v>
      </c>
      <c r="N349" s="330">
        <f t="shared" si="85"/>
        <v>0</v>
      </c>
      <c r="O349" s="330">
        <f t="shared" si="85"/>
        <v>0</v>
      </c>
      <c r="P349" s="330">
        <f t="shared" si="85"/>
        <v>0</v>
      </c>
      <c r="Q349" s="331"/>
      <c r="R349" s="330">
        <f t="shared" si="86"/>
        <v>0</v>
      </c>
      <c r="S349" s="330">
        <f t="shared" si="86"/>
        <v>0</v>
      </c>
      <c r="T349" s="330">
        <f t="shared" si="86"/>
        <v>0</v>
      </c>
      <c r="U349" s="330">
        <f t="shared" si="86"/>
        <v>0</v>
      </c>
      <c r="V349" s="330">
        <f t="shared" si="86"/>
        <v>0</v>
      </c>
      <c r="W349" s="330">
        <f t="shared" si="86"/>
        <v>0</v>
      </c>
      <c r="X349" s="330">
        <f t="shared" si="86"/>
        <v>0</v>
      </c>
      <c r="Y349" s="330">
        <f t="shared" si="86"/>
        <v>0</v>
      </c>
      <c r="AQ349" s="3"/>
    </row>
    <row r="350" spans="5:43" x14ac:dyDescent="0.35">
      <c r="E350" s="32"/>
      <c r="F350" s="80" t="s">
        <v>253</v>
      </c>
      <c r="G350" s="80" t="s">
        <v>254</v>
      </c>
      <c r="H350" s="37"/>
      <c r="I350" s="37"/>
      <c r="J350" s="81"/>
      <c r="K350" s="100">
        <f t="shared" si="85"/>
        <v>0</v>
      </c>
      <c r="L350" s="100">
        <f t="shared" si="85"/>
        <v>0</v>
      </c>
      <c r="M350" s="100">
        <f t="shared" si="85"/>
        <v>0</v>
      </c>
      <c r="N350" s="100">
        <f t="shared" si="85"/>
        <v>0</v>
      </c>
      <c r="O350" s="100">
        <f t="shared" si="85"/>
        <v>0</v>
      </c>
      <c r="P350" s="100">
        <f t="shared" si="85"/>
        <v>0</v>
      </c>
      <c r="Q350" s="81"/>
      <c r="R350" s="100">
        <f t="shared" si="86"/>
        <v>0</v>
      </c>
      <c r="S350" s="100">
        <f t="shared" si="86"/>
        <v>0</v>
      </c>
      <c r="T350" s="100">
        <f t="shared" si="86"/>
        <v>0</v>
      </c>
      <c r="U350" s="100">
        <f t="shared" si="86"/>
        <v>0</v>
      </c>
      <c r="V350" s="100">
        <f t="shared" si="86"/>
        <v>0</v>
      </c>
      <c r="W350" s="100">
        <f t="shared" si="86"/>
        <v>0</v>
      </c>
      <c r="X350" s="100">
        <f t="shared" si="86"/>
        <v>0</v>
      </c>
      <c r="Y350" s="100">
        <f t="shared" si="86"/>
        <v>0</v>
      </c>
      <c r="AQ350" s="3"/>
    </row>
    <row r="351" spans="5:43" x14ac:dyDescent="0.35">
      <c r="AQ351" s="3"/>
    </row>
    <row r="352" spans="5:43" x14ac:dyDescent="0.35">
      <c r="E352" s="32" t="s">
        <v>973</v>
      </c>
      <c r="G352" s="13"/>
      <c r="I352" t="s">
        <v>154</v>
      </c>
      <c r="AQ352" s="3"/>
    </row>
    <row r="353" spans="3:43" x14ac:dyDescent="0.35">
      <c r="E353" s="32"/>
      <c r="F353" s="78" t="s">
        <v>247</v>
      </c>
      <c r="G353" s="78" t="s">
        <v>207</v>
      </c>
      <c r="H353" s="23"/>
      <c r="I353" s="23"/>
      <c r="J353" s="83"/>
      <c r="K353" s="126">
        <f t="shared" ref="K353:P359" si="87">K58+K335+K344</f>
        <v>9396.1650095049135</v>
      </c>
      <c r="L353" s="126">
        <f t="shared" si="87"/>
        <v>0</v>
      </c>
      <c r="M353" s="126">
        <f t="shared" si="87"/>
        <v>454.90419700623829</v>
      </c>
      <c r="N353" s="126">
        <f t="shared" si="87"/>
        <v>0</v>
      </c>
      <c r="O353" s="126">
        <f t="shared" si="87"/>
        <v>0</v>
      </c>
      <c r="P353" s="126">
        <f t="shared" si="87"/>
        <v>0</v>
      </c>
      <c r="Q353" s="83"/>
      <c r="R353" s="126">
        <f t="shared" ref="R353:Y359" si="88">R58+R335+R344</f>
        <v>650.78467700282442</v>
      </c>
      <c r="S353" s="126">
        <f t="shared" si="88"/>
        <v>0.19900000000000004</v>
      </c>
      <c r="T353" s="126">
        <f t="shared" si="88"/>
        <v>37028.598245563808</v>
      </c>
      <c r="U353" s="126">
        <f t="shared" si="88"/>
        <v>0</v>
      </c>
      <c r="V353" s="126">
        <f t="shared" si="88"/>
        <v>324.10167419354838</v>
      </c>
      <c r="W353" s="126">
        <f t="shared" si="88"/>
        <v>0</v>
      </c>
      <c r="X353" s="126">
        <f t="shared" si="88"/>
        <v>166464.50181248464</v>
      </c>
      <c r="Y353" s="126">
        <f t="shared" si="88"/>
        <v>0</v>
      </c>
      <c r="AQ353" s="3"/>
    </row>
    <row r="354" spans="3:43" x14ac:dyDescent="0.35">
      <c r="E354" s="32"/>
      <c r="F354" s="72" t="s">
        <v>248</v>
      </c>
      <c r="G354" s="72" t="s">
        <v>207</v>
      </c>
      <c r="J354" s="331"/>
      <c r="K354" s="330">
        <f t="shared" si="87"/>
        <v>146290.47824065451</v>
      </c>
      <c r="L354" s="330">
        <f t="shared" si="87"/>
        <v>0</v>
      </c>
      <c r="M354" s="330">
        <f t="shared" si="87"/>
        <v>8911.3295663483332</v>
      </c>
      <c r="N354" s="330">
        <f t="shared" si="87"/>
        <v>0</v>
      </c>
      <c r="O354" s="330">
        <f t="shared" si="87"/>
        <v>0</v>
      </c>
      <c r="P354" s="330">
        <f t="shared" si="87"/>
        <v>0</v>
      </c>
      <c r="Q354" s="331"/>
      <c r="R354" s="330">
        <f t="shared" si="88"/>
        <v>3502.3381089269142</v>
      </c>
      <c r="S354" s="330">
        <f t="shared" si="88"/>
        <v>1.391</v>
      </c>
      <c r="T354" s="330">
        <f t="shared" si="88"/>
        <v>177224.06606561315</v>
      </c>
      <c r="U354" s="330">
        <f t="shared" si="88"/>
        <v>0</v>
      </c>
      <c r="V354" s="330">
        <f t="shared" si="88"/>
        <v>1487.9755864997869</v>
      </c>
      <c r="W354" s="330">
        <f t="shared" si="88"/>
        <v>0</v>
      </c>
      <c r="X354" s="330">
        <f t="shared" si="88"/>
        <v>712457.12239743408</v>
      </c>
      <c r="Y354" s="330">
        <f t="shared" si="88"/>
        <v>0</v>
      </c>
      <c r="AQ354" s="3"/>
    </row>
    <row r="355" spans="3:43" x14ac:dyDescent="0.35">
      <c r="E355" s="32"/>
      <c r="F355" s="72" t="s">
        <v>249</v>
      </c>
      <c r="G355" s="72" t="s">
        <v>207</v>
      </c>
      <c r="J355" s="331"/>
      <c r="K355" s="330">
        <f t="shared" si="87"/>
        <v>211336.36964169086</v>
      </c>
      <c r="L355" s="330">
        <f t="shared" si="87"/>
        <v>0</v>
      </c>
      <c r="M355" s="330">
        <f t="shared" si="87"/>
        <v>14290.612390057293</v>
      </c>
      <c r="N355" s="330">
        <f t="shared" si="87"/>
        <v>0</v>
      </c>
      <c r="O355" s="330">
        <f t="shared" si="87"/>
        <v>0</v>
      </c>
      <c r="P355" s="330">
        <f t="shared" si="87"/>
        <v>0</v>
      </c>
      <c r="Q355" s="331"/>
      <c r="R355" s="330">
        <f t="shared" si="88"/>
        <v>2112.3642325825435</v>
      </c>
      <c r="S355" s="330">
        <f t="shared" si="88"/>
        <v>0.64400000000000013</v>
      </c>
      <c r="T355" s="330">
        <f t="shared" si="88"/>
        <v>193113.18812858776</v>
      </c>
      <c r="U355" s="330">
        <f t="shared" si="88"/>
        <v>0</v>
      </c>
      <c r="V355" s="330">
        <f t="shared" si="88"/>
        <v>1570.8366193548386</v>
      </c>
      <c r="W355" s="330">
        <f t="shared" si="88"/>
        <v>0</v>
      </c>
      <c r="X355" s="330">
        <f t="shared" si="88"/>
        <v>746890.70756556396</v>
      </c>
      <c r="Y355" s="330">
        <f t="shared" si="88"/>
        <v>0</v>
      </c>
      <c r="AQ355" s="3"/>
    </row>
    <row r="356" spans="3:43" x14ac:dyDescent="0.35">
      <c r="E356" s="32"/>
      <c r="F356" s="72" t="s">
        <v>212</v>
      </c>
      <c r="G356" s="72" t="s">
        <v>212</v>
      </c>
      <c r="J356" s="331"/>
      <c r="K356" s="330">
        <f t="shared" si="87"/>
        <v>72371.122331145176</v>
      </c>
      <c r="L356" s="330">
        <f t="shared" si="87"/>
        <v>0</v>
      </c>
      <c r="M356" s="330">
        <f t="shared" si="87"/>
        <v>2436.905804440873</v>
      </c>
      <c r="N356" s="330">
        <f t="shared" si="87"/>
        <v>0</v>
      </c>
      <c r="O356" s="330">
        <f t="shared" si="87"/>
        <v>0</v>
      </c>
      <c r="P356" s="330">
        <f t="shared" si="87"/>
        <v>0</v>
      </c>
      <c r="Q356" s="331"/>
      <c r="R356" s="330">
        <f t="shared" si="88"/>
        <v>376.80645161290334</v>
      </c>
      <c r="S356" s="330">
        <f t="shared" si="88"/>
        <v>1</v>
      </c>
      <c r="T356" s="330">
        <f t="shared" si="88"/>
        <v>812.9295222209638</v>
      </c>
      <c r="U356" s="330">
        <f t="shared" si="88"/>
        <v>0</v>
      </c>
      <c r="V356" s="330">
        <f t="shared" si="88"/>
        <v>2</v>
      </c>
      <c r="W356" s="330">
        <f t="shared" si="88"/>
        <v>0</v>
      </c>
      <c r="X356" s="330">
        <f t="shared" si="88"/>
        <v>348.45161290322585</v>
      </c>
      <c r="Y356" s="330">
        <f t="shared" si="88"/>
        <v>0</v>
      </c>
      <c r="AQ356" s="3"/>
    </row>
    <row r="357" spans="3:43" x14ac:dyDescent="0.35">
      <c r="E357" s="32"/>
      <c r="F357" s="72" t="s">
        <v>250</v>
      </c>
      <c r="G357" s="72" t="s">
        <v>251</v>
      </c>
      <c r="J357" s="331"/>
      <c r="K357" s="330">
        <f t="shared" si="87"/>
        <v>0</v>
      </c>
      <c r="L357" s="330">
        <f t="shared" si="87"/>
        <v>0</v>
      </c>
      <c r="M357" s="330">
        <f t="shared" si="87"/>
        <v>0</v>
      </c>
      <c r="N357" s="330">
        <f t="shared" si="87"/>
        <v>0</v>
      </c>
      <c r="O357" s="330">
        <f t="shared" si="87"/>
        <v>0</v>
      </c>
      <c r="P357" s="330">
        <f t="shared" si="87"/>
        <v>0</v>
      </c>
      <c r="Q357" s="331"/>
      <c r="R357" s="330">
        <f t="shared" si="88"/>
        <v>0</v>
      </c>
      <c r="S357" s="330">
        <f t="shared" si="88"/>
        <v>0</v>
      </c>
      <c r="T357" s="330">
        <f t="shared" si="88"/>
        <v>0</v>
      </c>
      <c r="U357" s="330">
        <f t="shared" si="88"/>
        <v>0</v>
      </c>
      <c r="V357" s="330">
        <f t="shared" si="88"/>
        <v>0</v>
      </c>
      <c r="W357" s="330">
        <f t="shared" si="88"/>
        <v>0</v>
      </c>
      <c r="X357" s="330">
        <f t="shared" si="88"/>
        <v>0</v>
      </c>
      <c r="Y357" s="330">
        <f t="shared" si="88"/>
        <v>0</v>
      </c>
      <c r="AQ357" s="3"/>
    </row>
    <row r="358" spans="3:43" x14ac:dyDescent="0.35">
      <c r="E358" s="32"/>
      <c r="F358" s="72" t="s">
        <v>252</v>
      </c>
      <c r="G358" s="72" t="s">
        <v>251</v>
      </c>
      <c r="J358" s="331"/>
      <c r="K358" s="330">
        <f t="shared" si="87"/>
        <v>0</v>
      </c>
      <c r="L358" s="330">
        <f t="shared" si="87"/>
        <v>0</v>
      </c>
      <c r="M358" s="330">
        <f t="shared" si="87"/>
        <v>0</v>
      </c>
      <c r="N358" s="330">
        <f t="shared" si="87"/>
        <v>0</v>
      </c>
      <c r="O358" s="330">
        <f t="shared" si="87"/>
        <v>0</v>
      </c>
      <c r="P358" s="330">
        <f t="shared" si="87"/>
        <v>0</v>
      </c>
      <c r="Q358" s="331"/>
      <c r="R358" s="330">
        <f t="shared" si="88"/>
        <v>0</v>
      </c>
      <c r="S358" s="330">
        <f t="shared" si="88"/>
        <v>0</v>
      </c>
      <c r="T358" s="330">
        <f t="shared" si="88"/>
        <v>0</v>
      </c>
      <c r="U358" s="330">
        <f t="shared" si="88"/>
        <v>0</v>
      </c>
      <c r="V358" s="330">
        <f t="shared" si="88"/>
        <v>0</v>
      </c>
      <c r="W358" s="330">
        <f t="shared" si="88"/>
        <v>0</v>
      </c>
      <c r="X358" s="330">
        <f t="shared" si="88"/>
        <v>0</v>
      </c>
      <c r="Y358" s="330">
        <f t="shared" si="88"/>
        <v>0</v>
      </c>
      <c r="AQ358" s="3"/>
    </row>
    <row r="359" spans="3:43" x14ac:dyDescent="0.35">
      <c r="E359" s="32"/>
      <c r="F359" s="80" t="s">
        <v>253</v>
      </c>
      <c r="G359" s="80" t="s">
        <v>254</v>
      </c>
      <c r="H359" s="37"/>
      <c r="I359" s="37"/>
      <c r="J359" s="81"/>
      <c r="K359" s="100">
        <f t="shared" si="87"/>
        <v>0</v>
      </c>
      <c r="L359" s="100">
        <f t="shared" si="87"/>
        <v>0</v>
      </c>
      <c r="M359" s="100">
        <f t="shared" si="87"/>
        <v>0</v>
      </c>
      <c r="N359" s="100">
        <f t="shared" si="87"/>
        <v>0</v>
      </c>
      <c r="O359" s="100">
        <f t="shared" si="87"/>
        <v>0</v>
      </c>
      <c r="P359" s="100">
        <f t="shared" si="87"/>
        <v>0</v>
      </c>
      <c r="Q359" s="81"/>
      <c r="R359" s="100">
        <f t="shared" si="88"/>
        <v>0</v>
      </c>
      <c r="S359" s="100">
        <f t="shared" si="88"/>
        <v>0</v>
      </c>
      <c r="T359" s="100">
        <f t="shared" si="88"/>
        <v>12161.310051003624</v>
      </c>
      <c r="U359" s="100">
        <f t="shared" si="88"/>
        <v>0</v>
      </c>
      <c r="V359" s="100">
        <f t="shared" si="88"/>
        <v>0</v>
      </c>
      <c r="W359" s="100">
        <f t="shared" si="88"/>
        <v>0</v>
      </c>
      <c r="X359" s="100">
        <f t="shared" si="88"/>
        <v>36125.02323166062</v>
      </c>
      <c r="Y359" s="100">
        <f t="shared" si="88"/>
        <v>0</v>
      </c>
      <c r="AQ359" s="3"/>
    </row>
    <row r="360" spans="3:43" x14ac:dyDescent="0.35">
      <c r="AQ360" s="3"/>
    </row>
    <row r="361" spans="3:43" x14ac:dyDescent="0.35">
      <c r="C361" s="31" t="str">
        <f ca="1">INDEX('Version control'!$H$34:$H$57,MATCH($A$1,'Version control'!$F$34:$F$57,0),1)&amp;"-E: Residual band 1 volume discounting"</f>
        <v>Section 104-E: Residual band 1 volume discounting</v>
      </c>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Q361" s="3"/>
    </row>
    <row r="362" spans="3:43" x14ac:dyDescent="0.35">
      <c r="C362" s="32"/>
      <c r="AQ362" s="3"/>
    </row>
    <row r="363" spans="3:43" x14ac:dyDescent="0.35">
      <c r="E363" s="32" t="s">
        <v>969</v>
      </c>
      <c r="G363" s="13"/>
      <c r="I363" t="s">
        <v>154</v>
      </c>
      <c r="AQ363" s="3"/>
    </row>
    <row r="364" spans="3:43" x14ac:dyDescent="0.35">
      <c r="E364" s="32"/>
      <c r="F364" s="78" t="s">
        <v>247</v>
      </c>
      <c r="G364" s="78" t="s">
        <v>207</v>
      </c>
      <c r="H364" s="23"/>
      <c r="I364" s="23"/>
      <c r="J364" s="126">
        <f t="shared" ref="J364:J370" si="89">(1 - J315) * J114</f>
        <v>887.70827773624296</v>
      </c>
      <c r="K364" s="83"/>
      <c r="L364" s="126">
        <f t="shared" ref="L364:L370" si="90">(1 - L315) * L114</f>
        <v>0.36046117057658711</v>
      </c>
      <c r="M364" s="83"/>
      <c r="N364" s="126">
        <f t="shared" ref="N364:Q370" si="91">(1 - N315) * N114</f>
        <v>31.484613446331554</v>
      </c>
      <c r="O364" s="126">
        <f t="shared" si="91"/>
        <v>0</v>
      </c>
      <c r="P364" s="126">
        <f t="shared" si="91"/>
        <v>0</v>
      </c>
      <c r="Q364" s="126">
        <f t="shared" si="91"/>
        <v>3.1186958077454743</v>
      </c>
      <c r="R364" s="83"/>
      <c r="S364" s="83"/>
      <c r="T364" s="83"/>
      <c r="U364" s="83"/>
      <c r="V364" s="83"/>
      <c r="W364" s="83"/>
      <c r="X364" s="83"/>
      <c r="Y364" s="83"/>
      <c r="AQ364" s="3"/>
    </row>
    <row r="365" spans="3:43" x14ac:dyDescent="0.35">
      <c r="E365" s="32"/>
      <c r="F365" s="72" t="s">
        <v>248</v>
      </c>
      <c r="G365" s="72" t="s">
        <v>207</v>
      </c>
      <c r="J365" s="330">
        <f t="shared" si="89"/>
        <v>3073.0935797962015</v>
      </c>
      <c r="K365" s="331"/>
      <c r="L365" s="330">
        <f t="shared" si="90"/>
        <v>2.1091848195768219</v>
      </c>
      <c r="M365" s="331"/>
      <c r="N365" s="330">
        <f t="shared" si="91"/>
        <v>175.50559165182204</v>
      </c>
      <c r="O365" s="330">
        <f t="shared" si="91"/>
        <v>0</v>
      </c>
      <c r="P365" s="330">
        <f t="shared" si="91"/>
        <v>0</v>
      </c>
      <c r="Q365" s="330">
        <f t="shared" si="91"/>
        <v>103.69713001080383</v>
      </c>
      <c r="R365" s="331"/>
      <c r="S365" s="331"/>
      <c r="T365" s="331"/>
      <c r="U365" s="331"/>
      <c r="V365" s="331"/>
      <c r="W365" s="331"/>
      <c r="X365" s="331"/>
      <c r="Y365" s="331"/>
      <c r="AQ365" s="3"/>
    </row>
    <row r="366" spans="3:43" x14ac:dyDescent="0.35">
      <c r="E366" s="32"/>
      <c r="F366" s="72" t="s">
        <v>249</v>
      </c>
      <c r="G366" s="72" t="s">
        <v>207</v>
      </c>
      <c r="J366" s="330">
        <f t="shared" si="89"/>
        <v>2278.5603728251326</v>
      </c>
      <c r="K366" s="331"/>
      <c r="L366" s="330">
        <f t="shared" si="90"/>
        <v>1.0739438352787198</v>
      </c>
      <c r="M366" s="331"/>
      <c r="N366" s="330">
        <f t="shared" si="91"/>
        <v>86.68816206133873</v>
      </c>
      <c r="O366" s="330">
        <f t="shared" si="91"/>
        <v>0</v>
      </c>
      <c r="P366" s="330">
        <f t="shared" si="91"/>
        <v>0</v>
      </c>
      <c r="Q366" s="330">
        <f t="shared" si="91"/>
        <v>34.969566843638603</v>
      </c>
      <c r="R366" s="331"/>
      <c r="S366" s="331"/>
      <c r="T366" s="331"/>
      <c r="U366" s="331"/>
      <c r="V366" s="331"/>
      <c r="W366" s="331"/>
      <c r="X366" s="331"/>
      <c r="Y366" s="331"/>
      <c r="AQ366" s="3"/>
    </row>
    <row r="367" spans="3:43" x14ac:dyDescent="0.35">
      <c r="E367" s="32"/>
      <c r="F367" s="72" t="s">
        <v>212</v>
      </c>
      <c r="G367" s="72" t="s">
        <v>212</v>
      </c>
      <c r="J367" s="330">
        <f t="shared" si="89"/>
        <v>2170.7948787596224</v>
      </c>
      <c r="K367" s="331"/>
      <c r="L367" s="330">
        <f t="shared" si="90"/>
        <v>4.505467310114053</v>
      </c>
      <c r="M367" s="331"/>
      <c r="N367" s="330">
        <f t="shared" si="91"/>
        <v>3.3797675868285735</v>
      </c>
      <c r="O367" s="330">
        <f t="shared" si="91"/>
        <v>0</v>
      </c>
      <c r="P367" s="330">
        <f t="shared" si="91"/>
        <v>0</v>
      </c>
      <c r="Q367" s="330">
        <f t="shared" si="91"/>
        <v>1.4125807626349625</v>
      </c>
      <c r="R367" s="331"/>
      <c r="S367" s="331"/>
      <c r="T367" s="331"/>
      <c r="U367" s="331"/>
      <c r="V367" s="331"/>
      <c r="W367" s="331"/>
      <c r="X367" s="331"/>
      <c r="Y367" s="331"/>
      <c r="AQ367" s="3"/>
    </row>
    <row r="368" spans="3:43" x14ac:dyDescent="0.35">
      <c r="E368" s="32"/>
      <c r="F368" s="72" t="s">
        <v>250</v>
      </c>
      <c r="G368" s="72" t="s">
        <v>251</v>
      </c>
      <c r="J368" s="330">
        <f t="shared" si="89"/>
        <v>0</v>
      </c>
      <c r="K368" s="331"/>
      <c r="L368" s="330">
        <f t="shared" si="90"/>
        <v>0</v>
      </c>
      <c r="M368" s="331"/>
      <c r="N368" s="330">
        <f t="shared" si="91"/>
        <v>315.91391125674795</v>
      </c>
      <c r="O368" s="330">
        <f t="shared" si="91"/>
        <v>0</v>
      </c>
      <c r="P368" s="330">
        <f t="shared" si="91"/>
        <v>0</v>
      </c>
      <c r="Q368" s="330">
        <f t="shared" si="91"/>
        <v>0</v>
      </c>
      <c r="R368" s="331"/>
      <c r="S368" s="331"/>
      <c r="T368" s="331"/>
      <c r="U368" s="331"/>
      <c r="V368" s="331"/>
      <c r="W368" s="331"/>
      <c r="X368" s="331"/>
      <c r="Y368" s="331"/>
      <c r="AQ368" s="3"/>
    </row>
    <row r="369" spans="5:43" x14ac:dyDescent="0.35">
      <c r="E369" s="32"/>
      <c r="F369" s="72" t="s">
        <v>252</v>
      </c>
      <c r="G369" s="72" t="s">
        <v>251</v>
      </c>
      <c r="J369" s="330">
        <f t="shared" si="89"/>
        <v>0</v>
      </c>
      <c r="K369" s="331"/>
      <c r="L369" s="330">
        <f t="shared" si="90"/>
        <v>0</v>
      </c>
      <c r="M369" s="331"/>
      <c r="N369" s="330">
        <f t="shared" si="91"/>
        <v>0</v>
      </c>
      <c r="O369" s="330">
        <f t="shared" si="91"/>
        <v>0</v>
      </c>
      <c r="P369" s="330">
        <f t="shared" si="91"/>
        <v>0</v>
      </c>
      <c r="Q369" s="330">
        <f t="shared" si="91"/>
        <v>0</v>
      </c>
      <c r="R369" s="331"/>
      <c r="S369" s="331"/>
      <c r="T369" s="331"/>
      <c r="U369" s="331"/>
      <c r="V369" s="331"/>
      <c r="W369" s="331"/>
      <c r="X369" s="331"/>
      <c r="Y369" s="331"/>
      <c r="AQ369" s="3"/>
    </row>
    <row r="370" spans="5:43" x14ac:dyDescent="0.35">
      <c r="E370" s="32"/>
      <c r="F370" s="80" t="s">
        <v>253</v>
      </c>
      <c r="G370" s="80" t="s">
        <v>254</v>
      </c>
      <c r="H370" s="37"/>
      <c r="I370" s="37"/>
      <c r="J370" s="100">
        <f t="shared" si="89"/>
        <v>0</v>
      </c>
      <c r="K370" s="81"/>
      <c r="L370" s="100">
        <f t="shared" si="90"/>
        <v>0</v>
      </c>
      <c r="M370" s="81"/>
      <c r="N370" s="100">
        <f t="shared" si="91"/>
        <v>14.648862795329137</v>
      </c>
      <c r="O370" s="100">
        <f t="shared" si="91"/>
        <v>0</v>
      </c>
      <c r="P370" s="100">
        <f t="shared" si="91"/>
        <v>0</v>
      </c>
      <c r="Q370" s="100">
        <f t="shared" si="91"/>
        <v>0</v>
      </c>
      <c r="R370" s="81"/>
      <c r="S370" s="81"/>
      <c r="T370" s="81"/>
      <c r="U370" s="81"/>
      <c r="V370" s="81"/>
      <c r="W370" s="81"/>
      <c r="X370" s="81"/>
      <c r="Y370" s="81"/>
      <c r="AQ370" s="3"/>
    </row>
    <row r="371" spans="5:43" x14ac:dyDescent="0.35">
      <c r="AQ371" s="3"/>
    </row>
    <row r="372" spans="5:43" x14ac:dyDescent="0.35">
      <c r="E372" s="32" t="s">
        <v>970</v>
      </c>
      <c r="G372" s="13"/>
      <c r="I372" t="s">
        <v>154</v>
      </c>
      <c r="AQ372" s="3"/>
    </row>
    <row r="373" spans="5:43" x14ac:dyDescent="0.35">
      <c r="E373" s="32"/>
      <c r="F373" s="78" t="s">
        <v>247</v>
      </c>
      <c r="G373" s="78" t="s">
        <v>207</v>
      </c>
      <c r="H373" s="23"/>
      <c r="I373" s="23"/>
      <c r="J373" s="126">
        <f t="shared" ref="J373:J379" si="92">(1 - J324) * J161</f>
        <v>1280.4099555753478</v>
      </c>
      <c r="K373" s="83"/>
      <c r="L373" s="126">
        <f t="shared" ref="L373:L379" si="93">(1 - L324) * L161</f>
        <v>2.1278747100147153</v>
      </c>
      <c r="M373" s="83"/>
      <c r="N373" s="126">
        <f t="shared" ref="N373:Q379" si="94">(1 - N324) * N161</f>
        <v>57.293134450986351</v>
      </c>
      <c r="O373" s="126">
        <f t="shared" si="94"/>
        <v>3.8087547735798659</v>
      </c>
      <c r="P373" s="126">
        <f t="shared" si="94"/>
        <v>0.48758329508574833</v>
      </c>
      <c r="Q373" s="126">
        <f t="shared" si="94"/>
        <v>0</v>
      </c>
      <c r="R373" s="83"/>
      <c r="S373" s="83"/>
      <c r="T373" s="83"/>
      <c r="U373" s="83"/>
      <c r="V373" s="83"/>
      <c r="W373" s="83"/>
      <c r="X373" s="83"/>
      <c r="Y373" s="83"/>
      <c r="AQ373" s="3"/>
    </row>
    <row r="374" spans="5:43" x14ac:dyDescent="0.35">
      <c r="E374" s="32"/>
      <c r="F374" s="72" t="s">
        <v>248</v>
      </c>
      <c r="G374" s="72" t="s">
        <v>207</v>
      </c>
      <c r="J374" s="330">
        <f t="shared" si="92"/>
        <v>4891.9764642080536</v>
      </c>
      <c r="K374" s="331"/>
      <c r="L374" s="330">
        <f t="shared" si="93"/>
        <v>11.376300615068944</v>
      </c>
      <c r="M374" s="331"/>
      <c r="N374" s="330">
        <f t="shared" si="94"/>
        <v>433.74910508099975</v>
      </c>
      <c r="O374" s="330">
        <f t="shared" si="94"/>
        <v>16.892831060429693</v>
      </c>
      <c r="P374" s="330">
        <f t="shared" si="94"/>
        <v>2.0475565547950785</v>
      </c>
      <c r="Q374" s="330">
        <f t="shared" si="94"/>
        <v>0.30707450530854125</v>
      </c>
      <c r="R374" s="331"/>
      <c r="S374" s="331"/>
      <c r="T374" s="331"/>
      <c r="U374" s="331"/>
      <c r="V374" s="331"/>
      <c r="W374" s="331"/>
      <c r="X374" s="331"/>
      <c r="Y374" s="331"/>
      <c r="AQ374" s="3"/>
    </row>
    <row r="375" spans="5:43" x14ac:dyDescent="0.35">
      <c r="E375" s="32"/>
      <c r="F375" s="72" t="s">
        <v>249</v>
      </c>
      <c r="G375" s="72" t="s">
        <v>207</v>
      </c>
      <c r="J375" s="330">
        <f t="shared" si="92"/>
        <v>3738.0498167643227</v>
      </c>
      <c r="K375" s="331"/>
      <c r="L375" s="330">
        <f t="shared" si="93"/>
        <v>6.3306958417588213</v>
      </c>
      <c r="M375" s="331"/>
      <c r="N375" s="330">
        <f t="shared" si="94"/>
        <v>360.5443364716549</v>
      </c>
      <c r="O375" s="330">
        <f t="shared" si="94"/>
        <v>18.549707888324441</v>
      </c>
      <c r="P375" s="330">
        <f t="shared" si="94"/>
        <v>1.5669434450100677</v>
      </c>
      <c r="Q375" s="330">
        <f t="shared" si="94"/>
        <v>0.17548407035506028</v>
      </c>
      <c r="R375" s="331"/>
      <c r="S375" s="331"/>
      <c r="T375" s="331"/>
      <c r="U375" s="331"/>
      <c r="V375" s="331"/>
      <c r="W375" s="331"/>
      <c r="X375" s="331"/>
      <c r="Y375" s="331"/>
      <c r="AQ375" s="3"/>
    </row>
    <row r="376" spans="5:43" x14ac:dyDescent="0.35">
      <c r="E376" s="32"/>
      <c r="F376" s="72" t="s">
        <v>212</v>
      </c>
      <c r="G376" s="72" t="s">
        <v>212</v>
      </c>
      <c r="J376" s="330">
        <f t="shared" si="92"/>
        <v>3561.6136337420685</v>
      </c>
      <c r="K376" s="331"/>
      <c r="L376" s="330">
        <f t="shared" si="93"/>
        <v>14.33338603619355</v>
      </c>
      <c r="M376" s="331"/>
      <c r="N376" s="330">
        <f t="shared" si="94"/>
        <v>2.9358021918578454</v>
      </c>
      <c r="O376" s="330">
        <f t="shared" si="94"/>
        <v>0.1104234491565748</v>
      </c>
      <c r="P376" s="330">
        <f t="shared" si="94"/>
        <v>0.45431774831044036</v>
      </c>
      <c r="Q376" s="330">
        <f t="shared" si="94"/>
        <v>1.7491108576376508</v>
      </c>
      <c r="R376" s="331"/>
      <c r="S376" s="331"/>
      <c r="T376" s="331"/>
      <c r="U376" s="331"/>
      <c r="V376" s="331"/>
      <c r="W376" s="331"/>
      <c r="X376" s="331"/>
      <c r="Y376" s="331"/>
      <c r="AQ376" s="3"/>
    </row>
    <row r="377" spans="5:43" x14ac:dyDescent="0.35">
      <c r="E377" s="32"/>
      <c r="F377" s="72" t="s">
        <v>250</v>
      </c>
      <c r="G377" s="72" t="s">
        <v>251</v>
      </c>
      <c r="J377" s="330">
        <f t="shared" si="92"/>
        <v>0</v>
      </c>
      <c r="K377" s="331"/>
      <c r="L377" s="330">
        <f t="shared" si="93"/>
        <v>0</v>
      </c>
      <c r="M377" s="331"/>
      <c r="N377" s="330">
        <f t="shared" si="94"/>
        <v>312.6392114150517</v>
      </c>
      <c r="O377" s="330">
        <f t="shared" si="94"/>
        <v>36.709281038926477</v>
      </c>
      <c r="P377" s="330">
        <f t="shared" si="94"/>
        <v>1214.4208921253648</v>
      </c>
      <c r="Q377" s="330">
        <f t="shared" si="94"/>
        <v>0</v>
      </c>
      <c r="R377" s="331"/>
      <c r="S377" s="331"/>
      <c r="T377" s="331"/>
      <c r="U377" s="331"/>
      <c r="V377" s="331"/>
      <c r="W377" s="331"/>
      <c r="X377" s="331"/>
      <c r="Y377" s="331"/>
      <c r="AQ377" s="3"/>
    </row>
    <row r="378" spans="5:43" x14ac:dyDescent="0.35">
      <c r="E378" s="32"/>
      <c r="F378" s="72" t="s">
        <v>252</v>
      </c>
      <c r="G378" s="72" t="s">
        <v>251</v>
      </c>
      <c r="J378" s="330">
        <f t="shared" si="92"/>
        <v>0</v>
      </c>
      <c r="K378" s="331"/>
      <c r="L378" s="330">
        <f t="shared" si="93"/>
        <v>0</v>
      </c>
      <c r="M378" s="331"/>
      <c r="N378" s="330">
        <f t="shared" si="94"/>
        <v>2.5876834654368457</v>
      </c>
      <c r="O378" s="330">
        <f t="shared" si="94"/>
        <v>0</v>
      </c>
      <c r="P378" s="330">
        <f t="shared" si="94"/>
        <v>0</v>
      </c>
      <c r="Q378" s="330">
        <f t="shared" si="94"/>
        <v>0</v>
      </c>
      <c r="R378" s="331"/>
      <c r="S378" s="331"/>
      <c r="T378" s="331"/>
      <c r="U378" s="331"/>
      <c r="V378" s="331"/>
      <c r="W378" s="331"/>
      <c r="X378" s="331"/>
      <c r="Y378" s="331"/>
      <c r="AQ378" s="3"/>
    </row>
    <row r="379" spans="5:43" x14ac:dyDescent="0.35">
      <c r="E379" s="32"/>
      <c r="F379" s="80" t="s">
        <v>253</v>
      </c>
      <c r="G379" s="80" t="s">
        <v>254</v>
      </c>
      <c r="H379" s="37"/>
      <c r="I379" s="37"/>
      <c r="J379" s="100">
        <f t="shared" si="92"/>
        <v>0</v>
      </c>
      <c r="K379" s="81"/>
      <c r="L379" s="100">
        <f t="shared" si="93"/>
        <v>0</v>
      </c>
      <c r="M379" s="81"/>
      <c r="N379" s="100">
        <f t="shared" si="94"/>
        <v>50.561650500943628</v>
      </c>
      <c r="O379" s="100">
        <f t="shared" si="94"/>
        <v>1.4667253787713231E-2</v>
      </c>
      <c r="P379" s="100">
        <f t="shared" si="94"/>
        <v>0</v>
      </c>
      <c r="Q379" s="100">
        <f t="shared" si="94"/>
        <v>0</v>
      </c>
      <c r="R379" s="81"/>
      <c r="S379" s="81"/>
      <c r="T379" s="81"/>
      <c r="U379" s="81"/>
      <c r="V379" s="81"/>
      <c r="W379" s="81"/>
      <c r="X379" s="81"/>
      <c r="Y379" s="81"/>
      <c r="AQ379" s="3"/>
    </row>
    <row r="380" spans="5:43" x14ac:dyDescent="0.35">
      <c r="AQ380" s="3"/>
    </row>
    <row r="381" spans="5:43" x14ac:dyDescent="0.35">
      <c r="E381" s="32" t="s">
        <v>968</v>
      </c>
      <c r="G381" s="13"/>
      <c r="I381" t="s">
        <v>154</v>
      </c>
      <c r="AQ381" s="3"/>
    </row>
    <row r="382" spans="5:43" x14ac:dyDescent="0.35">
      <c r="E382" s="32"/>
      <c r="F382" s="78" t="s">
        <v>247</v>
      </c>
      <c r="G382" s="78" t="s">
        <v>207</v>
      </c>
      <c r="H382" s="23"/>
      <c r="I382" s="23"/>
      <c r="J382" s="126">
        <f t="shared" ref="J382:J388" si="95">J67+J364+J373</f>
        <v>324470.38323020173</v>
      </c>
      <c r="K382" s="83"/>
      <c r="L382" s="126">
        <f t="shared" ref="L382:L388" si="96">L67+L364+L373</f>
        <v>3442.9274264339338</v>
      </c>
      <c r="M382" s="83"/>
      <c r="N382" s="126">
        <f t="shared" ref="N382:Q388" si="97">N67+N364+N373</f>
        <v>28816.593330534015</v>
      </c>
      <c r="O382" s="126">
        <f t="shared" si="97"/>
        <v>641.17409023776929</v>
      </c>
      <c r="P382" s="126">
        <f t="shared" si="97"/>
        <v>6872.1524090227194</v>
      </c>
      <c r="Q382" s="126">
        <f t="shared" si="97"/>
        <v>6024.6308921944819</v>
      </c>
      <c r="R382" s="83"/>
      <c r="S382" s="83"/>
      <c r="T382" s="83"/>
      <c r="U382" s="83"/>
      <c r="V382" s="83"/>
      <c r="W382" s="83"/>
      <c r="X382" s="83"/>
      <c r="Y382" s="83"/>
      <c r="AQ382" s="3"/>
    </row>
    <row r="383" spans="5:43" x14ac:dyDescent="0.35">
      <c r="E383" s="32"/>
      <c r="F383" s="72" t="s">
        <v>248</v>
      </c>
      <c r="G383" s="72" t="s">
        <v>207</v>
      </c>
      <c r="J383" s="330">
        <f t="shared" si="95"/>
        <v>1243340.7641607483</v>
      </c>
      <c r="K383" s="331"/>
      <c r="L383" s="330">
        <f t="shared" si="96"/>
        <v>17921.583963322006</v>
      </c>
      <c r="M383" s="331"/>
      <c r="N383" s="330">
        <f t="shared" si="97"/>
        <v>144371.36446416241</v>
      </c>
      <c r="O383" s="330">
        <f t="shared" si="97"/>
        <v>3025.9727510856565</v>
      </c>
      <c r="P383" s="330">
        <f t="shared" si="97"/>
        <v>33932.3046589429</v>
      </c>
      <c r="Q383" s="330">
        <f t="shared" si="97"/>
        <v>29317.628247349428</v>
      </c>
      <c r="R383" s="331"/>
      <c r="S383" s="331"/>
      <c r="T383" s="331"/>
      <c r="U383" s="331"/>
      <c r="V383" s="331"/>
      <c r="W383" s="331"/>
      <c r="X383" s="331"/>
      <c r="Y383" s="331"/>
      <c r="AQ383" s="3"/>
    </row>
    <row r="384" spans="5:43" x14ac:dyDescent="0.35">
      <c r="E384" s="32"/>
      <c r="F384" s="72" t="s">
        <v>249</v>
      </c>
      <c r="G384" s="72" t="s">
        <v>207</v>
      </c>
      <c r="J384" s="330">
        <f t="shared" si="95"/>
        <v>1018610.3392766328</v>
      </c>
      <c r="K384" s="331"/>
      <c r="L384" s="330">
        <f t="shared" si="96"/>
        <v>12011.385288017098</v>
      </c>
      <c r="M384" s="331"/>
      <c r="N384" s="330">
        <f t="shared" si="97"/>
        <v>115268.67214816219</v>
      </c>
      <c r="O384" s="330">
        <f t="shared" si="97"/>
        <v>2954.5198116392717</v>
      </c>
      <c r="P384" s="330">
        <f t="shared" si="97"/>
        <v>31488.690610051406</v>
      </c>
      <c r="Q384" s="330">
        <f t="shared" si="97"/>
        <v>60946.957515069895</v>
      </c>
      <c r="R384" s="331"/>
      <c r="S384" s="331"/>
      <c r="T384" s="331"/>
      <c r="U384" s="331"/>
      <c r="V384" s="331"/>
      <c r="W384" s="331"/>
      <c r="X384" s="331"/>
      <c r="Y384" s="331"/>
      <c r="AQ384" s="3"/>
    </row>
    <row r="385" spans="3:43" x14ac:dyDescent="0.35">
      <c r="E385" s="32"/>
      <c r="F385" s="72" t="s">
        <v>212</v>
      </c>
      <c r="G385" s="72" t="s">
        <v>212</v>
      </c>
      <c r="J385" s="330">
        <f t="shared" si="95"/>
        <v>712324.84882153419</v>
      </c>
      <c r="K385" s="331"/>
      <c r="L385" s="330">
        <f t="shared" si="96"/>
        <v>28329.108328901191</v>
      </c>
      <c r="M385" s="331"/>
      <c r="N385" s="330">
        <f t="shared" si="97"/>
        <v>3245.1797450643903</v>
      </c>
      <c r="O385" s="330">
        <f t="shared" si="97"/>
        <v>9.9463413549057211</v>
      </c>
      <c r="P385" s="330">
        <f t="shared" si="97"/>
        <v>429.93232794509885</v>
      </c>
      <c r="Q385" s="330">
        <f t="shared" si="97"/>
        <v>1889.7423367815629</v>
      </c>
      <c r="R385" s="331"/>
      <c r="S385" s="331"/>
      <c r="T385" s="331"/>
      <c r="U385" s="331"/>
      <c r="V385" s="331"/>
      <c r="W385" s="331"/>
      <c r="X385" s="331"/>
      <c r="Y385" s="331"/>
      <c r="AQ385" s="3"/>
    </row>
    <row r="386" spans="3:43" x14ac:dyDescent="0.35">
      <c r="E386" s="32"/>
      <c r="F386" s="72" t="s">
        <v>250</v>
      </c>
      <c r="G386" s="72" t="s">
        <v>251</v>
      </c>
      <c r="J386" s="330">
        <f t="shared" si="95"/>
        <v>0</v>
      </c>
      <c r="K386" s="331"/>
      <c r="L386" s="330">
        <f t="shared" si="96"/>
        <v>0</v>
      </c>
      <c r="M386" s="331"/>
      <c r="N386" s="330">
        <f t="shared" si="97"/>
        <v>179552.46184599484</v>
      </c>
      <c r="O386" s="330">
        <f t="shared" si="97"/>
        <v>2496.06709449353</v>
      </c>
      <c r="P386" s="330">
        <f t="shared" si="97"/>
        <v>37661.775053581994</v>
      </c>
      <c r="Q386" s="330">
        <f t="shared" si="97"/>
        <v>0</v>
      </c>
      <c r="R386" s="331"/>
      <c r="S386" s="331"/>
      <c r="T386" s="331"/>
      <c r="U386" s="331"/>
      <c r="V386" s="331"/>
      <c r="W386" s="331"/>
      <c r="X386" s="331"/>
      <c r="Y386" s="331"/>
      <c r="AQ386" s="3"/>
    </row>
    <row r="387" spans="3:43" x14ac:dyDescent="0.35">
      <c r="E387" s="32"/>
      <c r="F387" s="72" t="s">
        <v>252</v>
      </c>
      <c r="G387" s="72" t="s">
        <v>251</v>
      </c>
      <c r="J387" s="330">
        <f t="shared" si="95"/>
        <v>0</v>
      </c>
      <c r="K387" s="331"/>
      <c r="L387" s="330">
        <f t="shared" si="96"/>
        <v>0</v>
      </c>
      <c r="M387" s="331"/>
      <c r="N387" s="330">
        <f t="shared" si="97"/>
        <v>3638.3527599389272</v>
      </c>
      <c r="O387" s="330">
        <f t="shared" si="97"/>
        <v>74.370999092084375</v>
      </c>
      <c r="P387" s="330">
        <f t="shared" si="97"/>
        <v>958.76253773084238</v>
      </c>
      <c r="Q387" s="330">
        <f t="shared" si="97"/>
        <v>0</v>
      </c>
      <c r="R387" s="331"/>
      <c r="S387" s="331"/>
      <c r="T387" s="331"/>
      <c r="U387" s="331"/>
      <c r="V387" s="331"/>
      <c r="W387" s="331"/>
      <c r="X387" s="331"/>
      <c r="Y387" s="331"/>
      <c r="AQ387" s="3"/>
    </row>
    <row r="388" spans="3:43" x14ac:dyDescent="0.35">
      <c r="E388" s="32"/>
      <c r="F388" s="80" t="s">
        <v>253</v>
      </c>
      <c r="G388" s="80" t="s">
        <v>254</v>
      </c>
      <c r="H388" s="37"/>
      <c r="I388" s="37"/>
      <c r="J388" s="100">
        <f t="shared" si="95"/>
        <v>0</v>
      </c>
      <c r="K388" s="81"/>
      <c r="L388" s="100">
        <f t="shared" si="96"/>
        <v>0</v>
      </c>
      <c r="M388" s="81"/>
      <c r="N388" s="100">
        <f t="shared" si="97"/>
        <v>33456.426829632837</v>
      </c>
      <c r="O388" s="100">
        <f t="shared" si="97"/>
        <v>502.20256164819767</v>
      </c>
      <c r="P388" s="100">
        <f t="shared" si="97"/>
        <v>12541.854171679766</v>
      </c>
      <c r="Q388" s="100">
        <f t="shared" si="97"/>
        <v>0</v>
      </c>
      <c r="R388" s="81"/>
      <c r="S388" s="81"/>
      <c r="T388" s="81"/>
      <c r="U388" s="81"/>
      <c r="V388" s="81"/>
      <c r="W388" s="81"/>
      <c r="X388" s="81"/>
      <c r="Y388" s="81"/>
      <c r="AQ388" s="3"/>
    </row>
    <row r="389" spans="3:43" x14ac:dyDescent="0.35">
      <c r="AQ389" s="3"/>
    </row>
    <row r="390" spans="3:43" x14ac:dyDescent="0.35">
      <c r="C390" s="31" t="str">
        <f ca="1">INDEX('Version control'!$H$34:$H$57,MATCH($A$1,'Version control'!$F$34:$F$57,0),1)&amp;"-F: Residual band 2 volume discounting"</f>
        <v>Section 104-F: Residual band 2 volume discounting</v>
      </c>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Q390" s="3"/>
    </row>
    <row r="391" spans="3:43" x14ac:dyDescent="0.35">
      <c r="C391" s="32"/>
      <c r="AQ391" s="3"/>
    </row>
    <row r="392" spans="3:43" x14ac:dyDescent="0.35">
      <c r="E392" s="32" t="s">
        <v>980</v>
      </c>
      <c r="G392" s="13"/>
      <c r="I392" t="s">
        <v>154</v>
      </c>
      <c r="AQ392" s="3"/>
    </row>
    <row r="393" spans="3:43" x14ac:dyDescent="0.35">
      <c r="E393" s="32"/>
      <c r="F393" s="78" t="s">
        <v>247</v>
      </c>
      <c r="G393" s="78" t="s">
        <v>207</v>
      </c>
      <c r="H393" s="23"/>
      <c r="I393" s="23"/>
      <c r="J393" s="83"/>
      <c r="K393" s="83"/>
      <c r="L393" s="126">
        <f t="shared" ref="L393:L399" si="98">(1 - L315) * L123</f>
        <v>1.7302848576181256</v>
      </c>
      <c r="M393" s="83"/>
      <c r="N393" s="126">
        <f t="shared" ref="N393:P399" si="99">(1 - N315) * N123</f>
        <v>32.346065455601646</v>
      </c>
      <c r="O393" s="126">
        <f t="shared" si="99"/>
        <v>0</v>
      </c>
      <c r="P393" s="126">
        <f t="shared" si="99"/>
        <v>0</v>
      </c>
      <c r="Q393" s="83"/>
      <c r="R393" s="83"/>
      <c r="S393" s="83"/>
      <c r="T393" s="83"/>
      <c r="U393" s="83"/>
      <c r="V393" s="83"/>
      <c r="W393" s="83"/>
      <c r="X393" s="83"/>
      <c r="Y393" s="83"/>
      <c r="AQ393" s="3"/>
    </row>
    <row r="394" spans="3:43" x14ac:dyDescent="0.35">
      <c r="E394" s="32"/>
      <c r="F394" s="72" t="s">
        <v>248</v>
      </c>
      <c r="G394" s="72" t="s">
        <v>207</v>
      </c>
      <c r="J394" s="331"/>
      <c r="K394" s="331"/>
      <c r="L394" s="330">
        <f t="shared" si="98"/>
        <v>10.124503977485659</v>
      </c>
      <c r="M394" s="331"/>
      <c r="N394" s="330">
        <f t="shared" si="99"/>
        <v>180.30760851076539</v>
      </c>
      <c r="O394" s="330">
        <f t="shared" si="99"/>
        <v>0</v>
      </c>
      <c r="P394" s="330">
        <f t="shared" si="99"/>
        <v>0</v>
      </c>
      <c r="Q394" s="331"/>
      <c r="R394" s="331"/>
      <c r="S394" s="331"/>
      <c r="T394" s="331"/>
      <c r="U394" s="331"/>
      <c r="V394" s="331"/>
      <c r="W394" s="331"/>
      <c r="X394" s="331"/>
      <c r="Y394" s="331"/>
      <c r="AQ394" s="3"/>
    </row>
    <row r="395" spans="3:43" x14ac:dyDescent="0.35">
      <c r="E395" s="32"/>
      <c r="F395" s="72" t="s">
        <v>249</v>
      </c>
      <c r="G395" s="72" t="s">
        <v>207</v>
      </c>
      <c r="J395" s="331"/>
      <c r="K395" s="331"/>
      <c r="L395" s="330">
        <f t="shared" si="98"/>
        <v>5.1551426555673521</v>
      </c>
      <c r="M395" s="331"/>
      <c r="N395" s="330">
        <f t="shared" si="99"/>
        <v>89.060040995630445</v>
      </c>
      <c r="O395" s="330">
        <f t="shared" si="99"/>
        <v>0</v>
      </c>
      <c r="P395" s="330">
        <f t="shared" si="99"/>
        <v>0</v>
      </c>
      <c r="Q395" s="331"/>
      <c r="R395" s="331"/>
      <c r="S395" s="331"/>
      <c r="T395" s="331"/>
      <c r="U395" s="331"/>
      <c r="V395" s="331"/>
      <c r="W395" s="331"/>
      <c r="X395" s="331"/>
      <c r="Y395" s="331"/>
      <c r="AQ395" s="3"/>
    </row>
    <row r="396" spans="3:43" x14ac:dyDescent="0.35">
      <c r="E396" s="32"/>
      <c r="F396" s="72" t="s">
        <v>212</v>
      </c>
      <c r="G396" s="72" t="s">
        <v>212</v>
      </c>
      <c r="J396" s="331"/>
      <c r="K396" s="331"/>
      <c r="L396" s="330">
        <f t="shared" si="98"/>
        <v>3.6547885567080738</v>
      </c>
      <c r="M396" s="331"/>
      <c r="N396" s="330">
        <f t="shared" si="99"/>
        <v>1.8191166434615231</v>
      </c>
      <c r="O396" s="330">
        <f t="shared" si="99"/>
        <v>0</v>
      </c>
      <c r="P396" s="330">
        <f t="shared" si="99"/>
        <v>0</v>
      </c>
      <c r="Q396" s="331"/>
      <c r="R396" s="331"/>
      <c r="S396" s="331"/>
      <c r="T396" s="331"/>
      <c r="U396" s="331"/>
      <c r="V396" s="331"/>
      <c r="W396" s="331"/>
      <c r="X396" s="331"/>
      <c r="Y396" s="331"/>
      <c r="AQ396" s="3"/>
    </row>
    <row r="397" spans="3:43" x14ac:dyDescent="0.35">
      <c r="E397" s="32"/>
      <c r="F397" s="72" t="s">
        <v>250</v>
      </c>
      <c r="G397" s="72" t="s">
        <v>251</v>
      </c>
      <c r="J397" s="331"/>
      <c r="K397" s="331"/>
      <c r="L397" s="330">
        <f t="shared" si="98"/>
        <v>0</v>
      </c>
      <c r="M397" s="331"/>
      <c r="N397" s="330">
        <f t="shared" si="99"/>
        <v>324.55764684119129</v>
      </c>
      <c r="O397" s="330">
        <f t="shared" si="99"/>
        <v>0</v>
      </c>
      <c r="P397" s="330">
        <f t="shared" si="99"/>
        <v>0</v>
      </c>
      <c r="Q397" s="331"/>
      <c r="R397" s="331"/>
      <c r="S397" s="331"/>
      <c r="T397" s="331"/>
      <c r="U397" s="331"/>
      <c r="V397" s="331"/>
      <c r="W397" s="331"/>
      <c r="X397" s="331"/>
      <c r="Y397" s="331"/>
      <c r="AQ397" s="3"/>
    </row>
    <row r="398" spans="3:43" x14ac:dyDescent="0.35">
      <c r="E398" s="32"/>
      <c r="F398" s="72" t="s">
        <v>252</v>
      </c>
      <c r="G398" s="72" t="s">
        <v>251</v>
      </c>
      <c r="J398" s="331"/>
      <c r="K398" s="331"/>
      <c r="L398" s="330">
        <f t="shared" si="98"/>
        <v>0</v>
      </c>
      <c r="M398" s="331"/>
      <c r="N398" s="330">
        <f t="shared" si="99"/>
        <v>0</v>
      </c>
      <c r="O398" s="330">
        <f t="shared" si="99"/>
        <v>0</v>
      </c>
      <c r="P398" s="330">
        <f t="shared" si="99"/>
        <v>0</v>
      </c>
      <c r="Q398" s="331"/>
      <c r="R398" s="331"/>
      <c r="S398" s="331"/>
      <c r="T398" s="331"/>
      <c r="U398" s="331"/>
      <c r="V398" s="331"/>
      <c r="W398" s="331"/>
      <c r="X398" s="331"/>
      <c r="Y398" s="331"/>
      <c r="AQ398" s="3"/>
    </row>
    <row r="399" spans="3:43" x14ac:dyDescent="0.35">
      <c r="E399" s="32"/>
      <c r="F399" s="80" t="s">
        <v>253</v>
      </c>
      <c r="G399" s="80" t="s">
        <v>254</v>
      </c>
      <c r="H399" s="37"/>
      <c r="I399" s="37"/>
      <c r="J399" s="81"/>
      <c r="K399" s="81"/>
      <c r="L399" s="100">
        <f t="shared" si="98"/>
        <v>0</v>
      </c>
      <c r="M399" s="81"/>
      <c r="N399" s="100">
        <f t="shared" si="99"/>
        <v>15.049671028533872</v>
      </c>
      <c r="O399" s="100">
        <f t="shared" si="99"/>
        <v>0</v>
      </c>
      <c r="P399" s="100">
        <f t="shared" si="99"/>
        <v>0</v>
      </c>
      <c r="Q399" s="81"/>
      <c r="R399" s="81"/>
      <c r="S399" s="81"/>
      <c r="T399" s="81"/>
      <c r="U399" s="81"/>
      <c r="V399" s="81"/>
      <c r="W399" s="81"/>
      <c r="X399" s="81"/>
      <c r="Y399" s="81"/>
      <c r="AQ399" s="3"/>
    </row>
    <row r="400" spans="3:43" x14ac:dyDescent="0.35">
      <c r="AQ400" s="3"/>
    </row>
    <row r="401" spans="5:43" x14ac:dyDescent="0.35">
      <c r="E401" s="32" t="s">
        <v>981</v>
      </c>
      <c r="G401" s="13"/>
      <c r="I401" t="s">
        <v>154</v>
      </c>
      <c r="AQ401" s="3"/>
    </row>
    <row r="402" spans="5:43" x14ac:dyDescent="0.35">
      <c r="E402" s="32"/>
      <c r="F402" s="78" t="s">
        <v>247</v>
      </c>
      <c r="G402" s="78" t="s">
        <v>207</v>
      </c>
      <c r="H402" s="23"/>
      <c r="I402" s="23"/>
      <c r="J402" s="83"/>
      <c r="K402" s="83"/>
      <c r="L402" s="126">
        <f t="shared" ref="L402:L408" si="100">(1 - L324) * L170</f>
        <v>10.214219145317744</v>
      </c>
      <c r="M402" s="83"/>
      <c r="N402" s="126">
        <f t="shared" ref="N402:P408" si="101">(1 - N324) * N170</f>
        <v>58.860734633669693</v>
      </c>
      <c r="O402" s="126">
        <f t="shared" si="101"/>
        <v>2.3361344910382669</v>
      </c>
      <c r="P402" s="126">
        <f t="shared" si="101"/>
        <v>1.3557526110551765</v>
      </c>
      <c r="Q402" s="83"/>
      <c r="R402" s="83"/>
      <c r="S402" s="83"/>
      <c r="T402" s="83"/>
      <c r="U402" s="83"/>
      <c r="V402" s="83"/>
      <c r="W402" s="83"/>
      <c r="X402" s="83"/>
      <c r="Y402" s="83"/>
      <c r="AQ402" s="3"/>
    </row>
    <row r="403" spans="5:43" x14ac:dyDescent="0.35">
      <c r="E403" s="32"/>
      <c r="F403" s="72" t="s">
        <v>248</v>
      </c>
      <c r="G403" s="72" t="s">
        <v>207</v>
      </c>
      <c r="J403" s="331"/>
      <c r="K403" s="331"/>
      <c r="L403" s="330">
        <f t="shared" si="100"/>
        <v>54.608491279321456</v>
      </c>
      <c r="M403" s="331"/>
      <c r="N403" s="330">
        <f t="shared" si="101"/>
        <v>445.61693502047353</v>
      </c>
      <c r="O403" s="330">
        <f t="shared" si="101"/>
        <v>10.361372059262305</v>
      </c>
      <c r="P403" s="330">
        <f t="shared" si="101"/>
        <v>5.6933454723020702</v>
      </c>
      <c r="Q403" s="331"/>
      <c r="R403" s="331"/>
      <c r="S403" s="331"/>
      <c r="T403" s="331"/>
      <c r="U403" s="331"/>
      <c r="V403" s="331"/>
      <c r="W403" s="331"/>
      <c r="X403" s="331"/>
      <c r="Y403" s="331"/>
      <c r="AQ403" s="3"/>
    </row>
    <row r="404" spans="5:43" x14ac:dyDescent="0.35">
      <c r="E404" s="32"/>
      <c r="F404" s="72" t="s">
        <v>249</v>
      </c>
      <c r="G404" s="72" t="s">
        <v>207</v>
      </c>
      <c r="J404" s="331"/>
      <c r="K404" s="331"/>
      <c r="L404" s="330">
        <f t="shared" si="100"/>
        <v>30.388591191832539</v>
      </c>
      <c r="M404" s="331"/>
      <c r="N404" s="330">
        <f t="shared" si="101"/>
        <v>370.40920724778465</v>
      </c>
      <c r="O404" s="330">
        <f t="shared" si="101"/>
        <v>11.377632578814978</v>
      </c>
      <c r="P404" s="330">
        <f t="shared" si="101"/>
        <v>4.3569738511541702</v>
      </c>
      <c r="Q404" s="331"/>
      <c r="R404" s="331"/>
      <c r="S404" s="331"/>
      <c r="T404" s="331"/>
      <c r="U404" s="331"/>
      <c r="V404" s="331"/>
      <c r="W404" s="331"/>
      <c r="X404" s="331"/>
      <c r="Y404" s="331"/>
      <c r="AQ404" s="3"/>
    </row>
    <row r="405" spans="5:43" x14ac:dyDescent="0.35">
      <c r="E405" s="32"/>
      <c r="F405" s="72" t="s">
        <v>212</v>
      </c>
      <c r="G405" s="72" t="s">
        <v>212</v>
      </c>
      <c r="J405" s="331"/>
      <c r="K405" s="331"/>
      <c r="L405" s="330">
        <f t="shared" si="100"/>
        <v>11.627094740286415</v>
      </c>
      <c r="M405" s="331"/>
      <c r="N405" s="330">
        <f t="shared" si="101"/>
        <v>1.5801579522604929</v>
      </c>
      <c r="O405" s="330">
        <f t="shared" si="101"/>
        <v>0.14723126554209973</v>
      </c>
      <c r="P405" s="330">
        <f t="shared" si="101"/>
        <v>0.16233415946823887</v>
      </c>
      <c r="Q405" s="331"/>
      <c r="R405" s="331"/>
      <c r="S405" s="331"/>
      <c r="T405" s="331"/>
      <c r="U405" s="331"/>
      <c r="V405" s="331"/>
      <c r="W405" s="331"/>
      <c r="X405" s="331"/>
      <c r="Y405" s="331"/>
      <c r="AQ405" s="3"/>
    </row>
    <row r="406" spans="5:43" x14ac:dyDescent="0.35">
      <c r="E406" s="32"/>
      <c r="F406" s="72" t="s">
        <v>250</v>
      </c>
      <c r="G406" s="72" t="s">
        <v>251</v>
      </c>
      <c r="J406" s="331"/>
      <c r="K406" s="331"/>
      <c r="L406" s="330">
        <f t="shared" si="100"/>
        <v>0</v>
      </c>
      <c r="M406" s="331"/>
      <c r="N406" s="330">
        <f t="shared" si="101"/>
        <v>321.19334778103251</v>
      </c>
      <c r="O406" s="330">
        <f t="shared" si="101"/>
        <v>22.515972456701128</v>
      </c>
      <c r="P406" s="330">
        <f t="shared" si="101"/>
        <v>3376.765184560657</v>
      </c>
      <c r="Q406" s="331"/>
      <c r="R406" s="331"/>
      <c r="S406" s="331"/>
      <c r="T406" s="331"/>
      <c r="U406" s="331"/>
      <c r="V406" s="331"/>
      <c r="W406" s="331"/>
      <c r="X406" s="331"/>
      <c r="Y406" s="331"/>
      <c r="AQ406" s="3"/>
    </row>
    <row r="407" spans="5:43" x14ac:dyDescent="0.35">
      <c r="E407" s="32"/>
      <c r="F407" s="72" t="s">
        <v>252</v>
      </c>
      <c r="G407" s="72" t="s">
        <v>251</v>
      </c>
      <c r="J407" s="331"/>
      <c r="K407" s="331"/>
      <c r="L407" s="330">
        <f t="shared" si="100"/>
        <v>0</v>
      </c>
      <c r="M407" s="331"/>
      <c r="N407" s="330">
        <f t="shared" si="101"/>
        <v>2.6584851960807807</v>
      </c>
      <c r="O407" s="330">
        <f t="shared" si="101"/>
        <v>0</v>
      </c>
      <c r="P407" s="330">
        <f t="shared" si="101"/>
        <v>0</v>
      </c>
      <c r="Q407" s="331"/>
      <c r="R407" s="331"/>
      <c r="S407" s="331"/>
      <c r="T407" s="331"/>
      <c r="U407" s="331"/>
      <c r="V407" s="331"/>
      <c r="W407" s="331"/>
      <c r="X407" s="331"/>
      <c r="Y407" s="331"/>
      <c r="AQ407" s="3"/>
    </row>
    <row r="408" spans="5:43" x14ac:dyDescent="0.35">
      <c r="E408" s="32"/>
      <c r="F408" s="80" t="s">
        <v>253</v>
      </c>
      <c r="G408" s="80" t="s">
        <v>254</v>
      </c>
      <c r="H408" s="37"/>
      <c r="I408" s="37"/>
      <c r="J408" s="81"/>
      <c r="K408" s="81"/>
      <c r="L408" s="100">
        <f t="shared" si="100"/>
        <v>0</v>
      </c>
      <c r="M408" s="81"/>
      <c r="N408" s="100">
        <f t="shared" si="101"/>
        <v>51.945070230402784</v>
      </c>
      <c r="O408" s="100">
        <f t="shared" si="101"/>
        <v>8.9962939331174156E-3</v>
      </c>
      <c r="P408" s="100">
        <f t="shared" si="101"/>
        <v>0</v>
      </c>
      <c r="Q408" s="81"/>
      <c r="R408" s="81"/>
      <c r="S408" s="81"/>
      <c r="T408" s="81"/>
      <c r="U408" s="81"/>
      <c r="V408" s="81"/>
      <c r="W408" s="81"/>
      <c r="X408" s="81"/>
      <c r="Y408" s="81"/>
      <c r="AQ408" s="3"/>
    </row>
    <row r="409" spans="5:43" x14ac:dyDescent="0.35">
      <c r="AQ409" s="3"/>
    </row>
    <row r="410" spans="5:43" x14ac:dyDescent="0.35">
      <c r="E410" s="32" t="s">
        <v>982</v>
      </c>
      <c r="G410" s="13"/>
      <c r="I410" t="s">
        <v>154</v>
      </c>
      <c r="AQ410" s="3"/>
    </row>
    <row r="411" spans="5:43" x14ac:dyDescent="0.35">
      <c r="E411" s="32"/>
      <c r="F411" s="78" t="s">
        <v>247</v>
      </c>
      <c r="G411" s="78" t="s">
        <v>207</v>
      </c>
      <c r="H411" s="23"/>
      <c r="I411" s="23"/>
      <c r="J411" s="83"/>
      <c r="K411" s="83"/>
      <c r="L411" s="126">
        <f t="shared" ref="L411:L417" si="102">L76+L393+L402</f>
        <v>16526.732081315939</v>
      </c>
      <c r="M411" s="83"/>
      <c r="N411" s="126">
        <f t="shared" ref="N411:P417" si="103">N76+N393+N402</f>
        <v>29605.045514240275</v>
      </c>
      <c r="O411" s="126">
        <f t="shared" si="103"/>
        <v>393.26997824978929</v>
      </c>
      <c r="P411" s="126">
        <f t="shared" si="103"/>
        <v>19108.403971188476</v>
      </c>
      <c r="Q411" s="83"/>
      <c r="R411" s="83"/>
      <c r="S411" s="83"/>
      <c r="T411" s="83"/>
      <c r="U411" s="83"/>
      <c r="V411" s="83"/>
      <c r="W411" s="83"/>
      <c r="X411" s="83"/>
      <c r="Y411" s="83"/>
      <c r="AQ411" s="3"/>
    </row>
    <row r="412" spans="5:43" x14ac:dyDescent="0.35">
      <c r="E412" s="32"/>
      <c r="F412" s="72" t="s">
        <v>248</v>
      </c>
      <c r="G412" s="72" t="s">
        <v>207</v>
      </c>
      <c r="J412" s="331"/>
      <c r="K412" s="331"/>
      <c r="L412" s="330">
        <f t="shared" si="102"/>
        <v>86027.144911796611</v>
      </c>
      <c r="M412" s="331"/>
      <c r="N412" s="330">
        <f t="shared" si="103"/>
        <v>148321.51624896095</v>
      </c>
      <c r="O412" s="330">
        <f t="shared" si="103"/>
        <v>1856.0079955236642</v>
      </c>
      <c r="P412" s="330">
        <f t="shared" si="103"/>
        <v>94350.670140147355</v>
      </c>
      <c r="Q412" s="331"/>
      <c r="R412" s="331"/>
      <c r="S412" s="331"/>
      <c r="T412" s="331"/>
      <c r="U412" s="331"/>
      <c r="V412" s="331"/>
      <c r="W412" s="331"/>
      <c r="X412" s="331"/>
      <c r="Y412" s="331"/>
      <c r="AQ412" s="3"/>
    </row>
    <row r="413" spans="5:43" x14ac:dyDescent="0.35">
      <c r="E413" s="32"/>
      <c r="F413" s="72" t="s">
        <v>249</v>
      </c>
      <c r="G413" s="72" t="s">
        <v>207</v>
      </c>
      <c r="J413" s="331"/>
      <c r="K413" s="331"/>
      <c r="L413" s="330">
        <f t="shared" si="102"/>
        <v>57657.023222858697</v>
      </c>
      <c r="M413" s="331"/>
      <c r="N413" s="330">
        <f t="shared" si="103"/>
        <v>118422.54378127572</v>
      </c>
      <c r="O413" s="330">
        <f t="shared" si="103"/>
        <v>1812.1816831853994</v>
      </c>
      <c r="P413" s="330">
        <f t="shared" si="103"/>
        <v>87556.064663326979</v>
      </c>
      <c r="Q413" s="331"/>
      <c r="R413" s="331"/>
      <c r="S413" s="331"/>
      <c r="T413" s="331"/>
      <c r="U413" s="331"/>
      <c r="V413" s="331"/>
      <c r="W413" s="331"/>
      <c r="X413" s="331"/>
      <c r="Y413" s="331"/>
      <c r="AQ413" s="3"/>
    </row>
    <row r="414" spans="5:43" x14ac:dyDescent="0.35">
      <c r="E414" s="32"/>
      <c r="F414" s="72" t="s">
        <v>212</v>
      </c>
      <c r="G414" s="72" t="s">
        <v>212</v>
      </c>
      <c r="J414" s="331"/>
      <c r="K414" s="331"/>
      <c r="L414" s="330">
        <f t="shared" si="102"/>
        <v>22980.280138707854</v>
      </c>
      <c r="M414" s="331"/>
      <c r="N414" s="330">
        <f t="shared" si="103"/>
        <v>1746.676460321436</v>
      </c>
      <c r="O414" s="330">
        <f t="shared" si="103"/>
        <v>13.261788473207631</v>
      </c>
      <c r="P414" s="330">
        <f t="shared" si="103"/>
        <v>153.6209037501672</v>
      </c>
      <c r="Q414" s="331"/>
      <c r="R414" s="331"/>
      <c r="S414" s="331"/>
      <c r="T414" s="331"/>
      <c r="U414" s="331"/>
      <c r="V414" s="331"/>
      <c r="W414" s="331"/>
      <c r="X414" s="331"/>
      <c r="Y414" s="331"/>
      <c r="AQ414" s="3"/>
    </row>
    <row r="415" spans="5:43" x14ac:dyDescent="0.35">
      <c r="E415" s="32"/>
      <c r="F415" s="72" t="s">
        <v>250</v>
      </c>
      <c r="G415" s="72" t="s">
        <v>251</v>
      </c>
      <c r="J415" s="331"/>
      <c r="K415" s="331"/>
      <c r="L415" s="330">
        <f t="shared" si="102"/>
        <v>0</v>
      </c>
      <c r="M415" s="331"/>
      <c r="N415" s="330">
        <f t="shared" si="103"/>
        <v>184465.20531322155</v>
      </c>
      <c r="O415" s="330">
        <f t="shared" si="103"/>
        <v>1530.9855262514805</v>
      </c>
      <c r="P415" s="330">
        <f t="shared" si="103"/>
        <v>104720.6710740303</v>
      </c>
      <c r="Q415" s="331"/>
      <c r="R415" s="331"/>
      <c r="S415" s="331"/>
      <c r="T415" s="331"/>
      <c r="U415" s="331"/>
      <c r="V415" s="331"/>
      <c r="W415" s="331"/>
      <c r="X415" s="331"/>
      <c r="Y415" s="331"/>
      <c r="AQ415" s="3"/>
    </row>
    <row r="416" spans="5:43" x14ac:dyDescent="0.35">
      <c r="E416" s="32"/>
      <c r="F416" s="72" t="s">
        <v>252</v>
      </c>
      <c r="G416" s="72" t="s">
        <v>251</v>
      </c>
      <c r="J416" s="331"/>
      <c r="K416" s="331"/>
      <c r="L416" s="330">
        <f t="shared" si="102"/>
        <v>0</v>
      </c>
      <c r="M416" s="331"/>
      <c r="N416" s="330">
        <f t="shared" si="103"/>
        <v>3737.9019032315841</v>
      </c>
      <c r="O416" s="330">
        <f t="shared" si="103"/>
        <v>45.616130846012524</v>
      </c>
      <c r="P416" s="330">
        <f t="shared" si="103"/>
        <v>2665.892837206166</v>
      </c>
      <c r="Q416" s="331"/>
      <c r="R416" s="331"/>
      <c r="S416" s="331"/>
      <c r="T416" s="331"/>
      <c r="U416" s="331"/>
      <c r="V416" s="331"/>
      <c r="W416" s="331"/>
      <c r="X416" s="331"/>
      <c r="Y416" s="331"/>
      <c r="AQ416" s="3"/>
    </row>
    <row r="417" spans="3:43" x14ac:dyDescent="0.35">
      <c r="E417" s="32"/>
      <c r="F417" s="80" t="s">
        <v>253</v>
      </c>
      <c r="G417" s="80" t="s">
        <v>254</v>
      </c>
      <c r="H417" s="37"/>
      <c r="I417" s="37"/>
      <c r="J417" s="81"/>
      <c r="K417" s="81"/>
      <c r="L417" s="100">
        <f t="shared" si="102"/>
        <v>0</v>
      </c>
      <c r="M417" s="81"/>
      <c r="N417" s="100">
        <f t="shared" si="103"/>
        <v>34371.829718873109</v>
      </c>
      <c r="O417" s="100">
        <f t="shared" si="103"/>
        <v>308.03052322830916</v>
      </c>
      <c r="P417" s="100">
        <f t="shared" si="103"/>
        <v>34873.326695365504</v>
      </c>
      <c r="Q417" s="81"/>
      <c r="R417" s="81"/>
      <c r="S417" s="81"/>
      <c r="T417" s="81"/>
      <c r="U417" s="81"/>
      <c r="V417" s="81"/>
      <c r="W417" s="81"/>
      <c r="X417" s="81"/>
      <c r="Y417" s="81"/>
      <c r="AQ417" s="3"/>
    </row>
    <row r="418" spans="3:43" x14ac:dyDescent="0.35">
      <c r="AQ418" s="3"/>
    </row>
    <row r="419" spans="3:43" x14ac:dyDescent="0.35">
      <c r="C419" s="31" t="str">
        <f ca="1">INDEX('Version control'!$H$34:$H$57,MATCH($A$1,'Version control'!$F$34:$F$57,0),1)&amp;"-G: Residual band 3 volume discounting"</f>
        <v>Section 104-G: Residual band 3 volume discounting</v>
      </c>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Q419" s="3"/>
    </row>
    <row r="420" spans="3:43" x14ac:dyDescent="0.35">
      <c r="C420" s="32"/>
      <c r="AQ420" s="3"/>
    </row>
    <row r="421" spans="3:43" x14ac:dyDescent="0.35">
      <c r="E421" s="32" t="s">
        <v>977</v>
      </c>
      <c r="G421" s="13"/>
      <c r="I421" t="s">
        <v>154</v>
      </c>
      <c r="AQ421" s="3"/>
    </row>
    <row r="422" spans="3:43" x14ac:dyDescent="0.35">
      <c r="E422" s="32"/>
      <c r="F422" s="78" t="s">
        <v>247</v>
      </c>
      <c r="G422" s="78" t="s">
        <v>207</v>
      </c>
      <c r="H422" s="23"/>
      <c r="I422" s="23"/>
      <c r="J422" s="83"/>
      <c r="K422" s="83"/>
      <c r="L422" s="126">
        <f t="shared" ref="L422:L428" si="104">(1 - L315) * L132</f>
        <v>2.4108493426961424</v>
      </c>
      <c r="M422" s="83"/>
      <c r="N422" s="126">
        <f t="shared" ref="N422:P428" si="105">(1 - N315) * N132</f>
        <v>24.457206180407344</v>
      </c>
      <c r="O422" s="126">
        <f t="shared" si="105"/>
        <v>0</v>
      </c>
      <c r="P422" s="126">
        <f t="shared" si="105"/>
        <v>0</v>
      </c>
      <c r="Q422" s="83"/>
      <c r="R422" s="83"/>
      <c r="S422" s="83"/>
      <c r="T422" s="83"/>
      <c r="U422" s="83"/>
      <c r="V422" s="83"/>
      <c r="W422" s="83"/>
      <c r="X422" s="83"/>
      <c r="Y422" s="83"/>
      <c r="AQ422" s="3"/>
    </row>
    <row r="423" spans="3:43" x14ac:dyDescent="0.35">
      <c r="E423" s="32"/>
      <c r="F423" s="72" t="s">
        <v>248</v>
      </c>
      <c r="G423" s="72" t="s">
        <v>207</v>
      </c>
      <c r="J423" s="331"/>
      <c r="K423" s="331"/>
      <c r="L423" s="330">
        <f t="shared" si="104"/>
        <v>14.106725636405459</v>
      </c>
      <c r="M423" s="331"/>
      <c r="N423" s="330">
        <f t="shared" si="105"/>
        <v>136.33251201129542</v>
      </c>
      <c r="O423" s="330">
        <f t="shared" si="105"/>
        <v>0</v>
      </c>
      <c r="P423" s="330">
        <f t="shared" si="105"/>
        <v>0</v>
      </c>
      <c r="Q423" s="331"/>
      <c r="R423" s="331"/>
      <c r="S423" s="331"/>
      <c r="T423" s="331"/>
      <c r="U423" s="331"/>
      <c r="V423" s="331"/>
      <c r="W423" s="331"/>
      <c r="X423" s="331"/>
      <c r="Y423" s="331"/>
      <c r="AQ423" s="3"/>
    </row>
    <row r="424" spans="3:43" x14ac:dyDescent="0.35">
      <c r="E424" s="32"/>
      <c r="F424" s="72" t="s">
        <v>249</v>
      </c>
      <c r="G424" s="72" t="s">
        <v>207</v>
      </c>
      <c r="J424" s="331"/>
      <c r="K424" s="331"/>
      <c r="L424" s="330">
        <f t="shared" si="104"/>
        <v>7.1827897169416941</v>
      </c>
      <c r="M424" s="331"/>
      <c r="N424" s="330">
        <f t="shared" si="105"/>
        <v>67.339249902137752</v>
      </c>
      <c r="O424" s="330">
        <f t="shared" si="105"/>
        <v>0</v>
      </c>
      <c r="P424" s="330">
        <f t="shared" si="105"/>
        <v>0</v>
      </c>
      <c r="Q424" s="331"/>
      <c r="R424" s="331"/>
      <c r="S424" s="331"/>
      <c r="T424" s="331"/>
      <c r="U424" s="331"/>
      <c r="V424" s="331"/>
      <c r="W424" s="331"/>
      <c r="X424" s="331"/>
      <c r="Y424" s="331"/>
      <c r="AQ424" s="3"/>
    </row>
    <row r="425" spans="3:43" x14ac:dyDescent="0.35">
      <c r="E425" s="32"/>
      <c r="F425" s="72" t="s">
        <v>212</v>
      </c>
      <c r="G425" s="72" t="s">
        <v>212</v>
      </c>
      <c r="J425" s="331"/>
      <c r="K425" s="331"/>
      <c r="L425" s="330">
        <f t="shared" si="104"/>
        <v>2.0636321947418721</v>
      </c>
      <c r="M425" s="331"/>
      <c r="N425" s="330">
        <f t="shared" si="105"/>
        <v>0.83672794437363252</v>
      </c>
      <c r="O425" s="330">
        <f t="shared" si="105"/>
        <v>0</v>
      </c>
      <c r="P425" s="330">
        <f t="shared" si="105"/>
        <v>0</v>
      </c>
      <c r="Q425" s="331"/>
      <c r="R425" s="331"/>
      <c r="S425" s="331"/>
      <c r="T425" s="331"/>
      <c r="U425" s="331"/>
      <c r="V425" s="331"/>
      <c r="W425" s="331"/>
      <c r="X425" s="331"/>
      <c r="Y425" s="331"/>
      <c r="AQ425" s="3"/>
    </row>
    <row r="426" spans="3:43" x14ac:dyDescent="0.35">
      <c r="E426" s="32"/>
      <c r="F426" s="72" t="s">
        <v>250</v>
      </c>
      <c r="G426" s="72" t="s">
        <v>251</v>
      </c>
      <c r="J426" s="331"/>
      <c r="K426" s="331"/>
      <c r="L426" s="330">
        <f t="shared" si="104"/>
        <v>0</v>
      </c>
      <c r="M426" s="331"/>
      <c r="N426" s="330">
        <f t="shared" si="105"/>
        <v>245.40150940825464</v>
      </c>
      <c r="O426" s="330">
        <f t="shared" si="105"/>
        <v>0</v>
      </c>
      <c r="P426" s="330">
        <f t="shared" si="105"/>
        <v>0</v>
      </c>
      <c r="Q426" s="331"/>
      <c r="R426" s="331"/>
      <c r="S426" s="331"/>
      <c r="T426" s="331"/>
      <c r="U426" s="331"/>
      <c r="V426" s="331"/>
      <c r="W426" s="331"/>
      <c r="X426" s="331"/>
      <c r="Y426" s="331"/>
      <c r="AQ426" s="3"/>
    </row>
    <row r="427" spans="3:43" x14ac:dyDescent="0.35">
      <c r="E427" s="32"/>
      <c r="F427" s="72" t="s">
        <v>252</v>
      </c>
      <c r="G427" s="72" t="s">
        <v>251</v>
      </c>
      <c r="J427" s="331"/>
      <c r="K427" s="331"/>
      <c r="L427" s="330">
        <f t="shared" si="104"/>
        <v>0</v>
      </c>
      <c r="M427" s="331"/>
      <c r="N427" s="330">
        <f t="shared" si="105"/>
        <v>0</v>
      </c>
      <c r="O427" s="330">
        <f t="shared" si="105"/>
        <v>0</v>
      </c>
      <c r="P427" s="330">
        <f t="shared" si="105"/>
        <v>0</v>
      </c>
      <c r="Q427" s="331"/>
      <c r="R427" s="331"/>
      <c r="S427" s="331"/>
      <c r="T427" s="331"/>
      <c r="U427" s="331"/>
      <c r="V427" s="331"/>
      <c r="W427" s="331"/>
      <c r="X427" s="331"/>
      <c r="Y427" s="331"/>
      <c r="AQ427" s="3"/>
    </row>
    <row r="428" spans="3:43" x14ac:dyDescent="0.35">
      <c r="E428" s="32"/>
      <c r="F428" s="80" t="s">
        <v>253</v>
      </c>
      <c r="G428" s="80" t="s">
        <v>254</v>
      </c>
      <c r="H428" s="37"/>
      <c r="I428" s="37"/>
      <c r="J428" s="81"/>
      <c r="K428" s="81"/>
      <c r="L428" s="100">
        <f t="shared" si="104"/>
        <v>0</v>
      </c>
      <c r="M428" s="81"/>
      <c r="N428" s="100">
        <f t="shared" si="105"/>
        <v>11.379217289885673</v>
      </c>
      <c r="O428" s="100">
        <f t="shared" si="105"/>
        <v>0</v>
      </c>
      <c r="P428" s="100">
        <f t="shared" si="105"/>
        <v>0</v>
      </c>
      <c r="Q428" s="81"/>
      <c r="R428" s="81"/>
      <c r="S428" s="81"/>
      <c r="T428" s="81"/>
      <c r="U428" s="81"/>
      <c r="V428" s="81"/>
      <c r="W428" s="81"/>
      <c r="X428" s="81"/>
      <c r="Y428" s="81"/>
      <c r="AQ428" s="3"/>
    </row>
    <row r="429" spans="3:43" x14ac:dyDescent="0.35">
      <c r="AQ429" s="3"/>
    </row>
    <row r="430" spans="3:43" x14ac:dyDescent="0.35">
      <c r="E430" s="32" t="s">
        <v>978</v>
      </c>
      <c r="G430" s="13"/>
      <c r="I430" t="s">
        <v>154</v>
      </c>
      <c r="AQ430" s="3"/>
    </row>
    <row r="431" spans="3:43" x14ac:dyDescent="0.35">
      <c r="E431" s="32"/>
      <c r="F431" s="78" t="s">
        <v>247</v>
      </c>
      <c r="G431" s="78" t="s">
        <v>207</v>
      </c>
      <c r="H431" s="23"/>
      <c r="I431" s="23"/>
      <c r="J431" s="83"/>
      <c r="K431" s="83"/>
      <c r="L431" s="126">
        <f t="shared" ref="L431:L437" si="106">(1 - L324) * L179</f>
        <v>14.231728032655749</v>
      </c>
      <c r="M431" s="83"/>
      <c r="N431" s="126">
        <f t="shared" ref="N431:P437" si="107">(1 - N324) * N179</f>
        <v>44.505231241860372</v>
      </c>
      <c r="O431" s="126">
        <f t="shared" si="107"/>
        <v>6.9211083609475974</v>
      </c>
      <c r="P431" s="126">
        <f t="shared" si="107"/>
        <v>1.1351309098119367</v>
      </c>
      <c r="Q431" s="83"/>
      <c r="R431" s="83"/>
      <c r="S431" s="83"/>
      <c r="T431" s="83"/>
      <c r="U431" s="83"/>
      <c r="V431" s="83"/>
      <c r="W431" s="83"/>
      <c r="X431" s="83"/>
      <c r="Y431" s="83"/>
      <c r="AQ431" s="3"/>
    </row>
    <row r="432" spans="3:43" x14ac:dyDescent="0.35">
      <c r="E432" s="32"/>
      <c r="F432" s="72" t="s">
        <v>248</v>
      </c>
      <c r="G432" s="72" t="s">
        <v>207</v>
      </c>
      <c r="J432" s="331"/>
      <c r="K432" s="331"/>
      <c r="L432" s="330">
        <f t="shared" si="106"/>
        <v>76.087382217290369</v>
      </c>
      <c r="M432" s="331"/>
      <c r="N432" s="330">
        <f t="shared" si="107"/>
        <v>336.93573248456744</v>
      </c>
      <c r="O432" s="330">
        <f t="shared" si="107"/>
        <v>30.696939352313379</v>
      </c>
      <c r="P432" s="330">
        <f t="shared" si="107"/>
        <v>4.7668670324876112</v>
      </c>
      <c r="Q432" s="331"/>
      <c r="R432" s="331"/>
      <c r="S432" s="331"/>
      <c r="T432" s="331"/>
      <c r="U432" s="331"/>
      <c r="V432" s="331"/>
      <c r="W432" s="331"/>
      <c r="X432" s="331"/>
      <c r="Y432" s="331"/>
      <c r="AQ432" s="3"/>
    </row>
    <row r="433" spans="3:43" x14ac:dyDescent="0.35">
      <c r="E433" s="32"/>
      <c r="F433" s="72" t="s">
        <v>249</v>
      </c>
      <c r="G433" s="72" t="s">
        <v>207</v>
      </c>
      <c r="J433" s="331"/>
      <c r="K433" s="331"/>
      <c r="L433" s="330">
        <f t="shared" si="106"/>
        <v>42.341187219971772</v>
      </c>
      <c r="M433" s="331"/>
      <c r="N433" s="330">
        <f t="shared" si="107"/>
        <v>280.07036482427725</v>
      </c>
      <c r="O433" s="330">
        <f t="shared" si="107"/>
        <v>33.707745967154693</v>
      </c>
      <c r="P433" s="330">
        <f t="shared" si="107"/>
        <v>3.6479632429682036</v>
      </c>
      <c r="Q433" s="331"/>
      <c r="R433" s="331"/>
      <c r="S433" s="331"/>
      <c r="T433" s="331"/>
      <c r="U433" s="331"/>
      <c r="V433" s="331"/>
      <c r="W433" s="331"/>
      <c r="X433" s="331"/>
      <c r="Y433" s="331"/>
      <c r="AQ433" s="3"/>
    </row>
    <row r="434" spans="3:43" x14ac:dyDescent="0.35">
      <c r="E434" s="32"/>
      <c r="F434" s="72" t="s">
        <v>212</v>
      </c>
      <c r="G434" s="72" t="s">
        <v>212</v>
      </c>
      <c r="J434" s="331"/>
      <c r="K434" s="331"/>
      <c r="L434" s="330">
        <f t="shared" si="106"/>
        <v>6.5650985453945792</v>
      </c>
      <c r="M434" s="331"/>
      <c r="N434" s="330">
        <f t="shared" si="107"/>
        <v>0.72681557828236998</v>
      </c>
      <c r="O434" s="330">
        <f t="shared" si="107"/>
        <v>0.29446253108419945</v>
      </c>
      <c r="P434" s="330">
        <f t="shared" si="107"/>
        <v>6.3190478182267487E-2</v>
      </c>
      <c r="Q434" s="331"/>
      <c r="R434" s="331"/>
      <c r="S434" s="331"/>
      <c r="T434" s="331"/>
      <c r="U434" s="331"/>
      <c r="V434" s="331"/>
      <c r="W434" s="331"/>
      <c r="X434" s="331"/>
      <c r="Y434" s="331"/>
      <c r="AQ434" s="3"/>
    </row>
    <row r="435" spans="3:43" x14ac:dyDescent="0.35">
      <c r="E435" s="32"/>
      <c r="F435" s="72" t="s">
        <v>250</v>
      </c>
      <c r="G435" s="72" t="s">
        <v>251</v>
      </c>
      <c r="J435" s="331"/>
      <c r="K435" s="331"/>
      <c r="L435" s="330">
        <f t="shared" si="106"/>
        <v>0</v>
      </c>
      <c r="M435" s="331"/>
      <c r="N435" s="330">
        <f t="shared" si="107"/>
        <v>242.85772689227002</v>
      </c>
      <c r="O435" s="330">
        <f t="shared" si="107"/>
        <v>66.706555561225755</v>
      </c>
      <c r="P435" s="330">
        <f t="shared" si="107"/>
        <v>2827.2639896952505</v>
      </c>
      <c r="Q435" s="331"/>
      <c r="R435" s="331"/>
      <c r="S435" s="331"/>
      <c r="T435" s="331"/>
      <c r="U435" s="331"/>
      <c r="V435" s="331"/>
      <c r="W435" s="331"/>
      <c r="X435" s="331"/>
      <c r="Y435" s="331"/>
      <c r="AQ435" s="3"/>
    </row>
    <row r="436" spans="3:43" x14ac:dyDescent="0.35">
      <c r="E436" s="32"/>
      <c r="F436" s="72" t="s">
        <v>252</v>
      </c>
      <c r="G436" s="72" t="s">
        <v>251</v>
      </c>
      <c r="J436" s="331"/>
      <c r="K436" s="331"/>
      <c r="L436" s="330">
        <f t="shared" si="106"/>
        <v>0</v>
      </c>
      <c r="M436" s="331"/>
      <c r="N436" s="330">
        <f t="shared" si="107"/>
        <v>2.0101091014409103</v>
      </c>
      <c r="O436" s="330">
        <f t="shared" si="107"/>
        <v>0</v>
      </c>
      <c r="P436" s="330">
        <f t="shared" si="107"/>
        <v>0</v>
      </c>
      <c r="Q436" s="331"/>
      <c r="R436" s="331"/>
      <c r="S436" s="331"/>
      <c r="T436" s="331"/>
      <c r="U436" s="331"/>
      <c r="V436" s="331"/>
      <c r="W436" s="331"/>
      <c r="X436" s="331"/>
      <c r="Y436" s="331"/>
      <c r="AQ436" s="3"/>
    </row>
    <row r="437" spans="3:43" x14ac:dyDescent="0.35">
      <c r="E437" s="32"/>
      <c r="F437" s="80" t="s">
        <v>253</v>
      </c>
      <c r="G437" s="80" t="s">
        <v>254</v>
      </c>
      <c r="H437" s="37"/>
      <c r="I437" s="37"/>
      <c r="J437" s="81"/>
      <c r="K437" s="81"/>
      <c r="L437" s="100">
        <f t="shared" si="106"/>
        <v>0</v>
      </c>
      <c r="M437" s="81"/>
      <c r="N437" s="100">
        <f t="shared" si="107"/>
        <v>39.276223391821802</v>
      </c>
      <c r="O437" s="100">
        <f t="shared" si="107"/>
        <v>2.6652714300865642E-2</v>
      </c>
      <c r="P437" s="100">
        <f t="shared" si="107"/>
        <v>0</v>
      </c>
      <c r="Q437" s="81"/>
      <c r="R437" s="81"/>
      <c r="S437" s="81"/>
      <c r="T437" s="81"/>
      <c r="U437" s="81"/>
      <c r="V437" s="81"/>
      <c r="W437" s="81"/>
      <c r="X437" s="81"/>
      <c r="Y437" s="81"/>
      <c r="AQ437" s="3"/>
    </row>
    <row r="438" spans="3:43" x14ac:dyDescent="0.35">
      <c r="AQ438" s="3"/>
    </row>
    <row r="439" spans="3:43" x14ac:dyDescent="0.35">
      <c r="E439" s="32" t="s">
        <v>979</v>
      </c>
      <c r="G439" s="13"/>
      <c r="I439" t="s">
        <v>154</v>
      </c>
      <c r="AQ439" s="3"/>
    </row>
    <row r="440" spans="3:43" x14ac:dyDescent="0.35">
      <c r="E440" s="32"/>
      <c r="F440" s="78" t="s">
        <v>247</v>
      </c>
      <c r="G440" s="78" t="s">
        <v>207</v>
      </c>
      <c r="H440" s="23"/>
      <c r="I440" s="23"/>
      <c r="J440" s="83"/>
      <c r="K440" s="83"/>
      <c r="L440" s="126">
        <f t="shared" ref="L440:L446" si="108">L85+L422+L431</f>
        <v>23027.110824979114</v>
      </c>
      <c r="M440" s="83"/>
      <c r="N440" s="126">
        <f t="shared" ref="N440:P446" si="109">N85+N422+N431</f>
        <v>22384.691674972386</v>
      </c>
      <c r="O440" s="126">
        <f t="shared" si="109"/>
        <v>1165.1144850674229</v>
      </c>
      <c r="P440" s="126">
        <f t="shared" si="109"/>
        <v>15998.892281673381</v>
      </c>
      <c r="Q440" s="83"/>
      <c r="R440" s="83"/>
      <c r="S440" s="83"/>
      <c r="T440" s="83"/>
      <c r="U440" s="83"/>
      <c r="V440" s="83"/>
      <c r="W440" s="83"/>
      <c r="X440" s="83"/>
      <c r="Y440" s="83"/>
      <c r="AQ440" s="3"/>
    </row>
    <row r="441" spans="3:43" x14ac:dyDescent="0.35">
      <c r="E441" s="32"/>
      <c r="F441" s="72" t="s">
        <v>248</v>
      </c>
      <c r="G441" s="72" t="s">
        <v>207</v>
      </c>
      <c r="J441" s="331"/>
      <c r="K441" s="331"/>
      <c r="L441" s="330">
        <f t="shared" si="108"/>
        <v>119863.78130253717</v>
      </c>
      <c r="M441" s="331"/>
      <c r="N441" s="330">
        <f t="shared" si="109"/>
        <v>112147.48541428134</v>
      </c>
      <c r="O441" s="330">
        <f t="shared" si="109"/>
        <v>5498.669920367186</v>
      </c>
      <c r="P441" s="330">
        <f t="shared" si="109"/>
        <v>78996.980101108304</v>
      </c>
      <c r="Q441" s="331"/>
      <c r="R441" s="331"/>
      <c r="S441" s="331"/>
      <c r="T441" s="331"/>
      <c r="U441" s="331"/>
      <c r="V441" s="331"/>
      <c r="W441" s="331"/>
      <c r="X441" s="331"/>
      <c r="Y441" s="331"/>
      <c r="AQ441" s="3"/>
    </row>
    <row r="442" spans="3:43" x14ac:dyDescent="0.35">
      <c r="E442" s="32"/>
      <c r="F442" s="72" t="s">
        <v>249</v>
      </c>
      <c r="G442" s="72" t="s">
        <v>207</v>
      </c>
      <c r="J442" s="331"/>
      <c r="K442" s="331"/>
      <c r="L442" s="330">
        <f t="shared" si="108"/>
        <v>80334.978328362035</v>
      </c>
      <c r="M442" s="331"/>
      <c r="N442" s="330">
        <f t="shared" si="109"/>
        <v>89540.552424913301</v>
      </c>
      <c r="O442" s="330">
        <f t="shared" si="109"/>
        <v>5368.8286556979356</v>
      </c>
      <c r="P442" s="330">
        <f t="shared" si="109"/>
        <v>73308.061168683402</v>
      </c>
      <c r="Q442" s="331"/>
      <c r="R442" s="331"/>
      <c r="S442" s="331"/>
      <c r="T442" s="331"/>
      <c r="U442" s="331"/>
      <c r="V442" s="331"/>
      <c r="W442" s="331"/>
      <c r="X442" s="331"/>
      <c r="Y442" s="331"/>
      <c r="AQ442" s="3"/>
    </row>
    <row r="443" spans="3:43" x14ac:dyDescent="0.35">
      <c r="E443" s="32"/>
      <c r="F443" s="72" t="s">
        <v>212</v>
      </c>
      <c r="G443" s="72" t="s">
        <v>212</v>
      </c>
      <c r="J443" s="331"/>
      <c r="K443" s="331"/>
      <c r="L443" s="330">
        <f t="shared" si="108"/>
        <v>12975.537490776003</v>
      </c>
      <c r="M443" s="331"/>
      <c r="N443" s="330">
        <f t="shared" si="109"/>
        <v>803.40807687271354</v>
      </c>
      <c r="O443" s="330">
        <f t="shared" si="109"/>
        <v>26.523576946415261</v>
      </c>
      <c r="P443" s="330">
        <f t="shared" si="109"/>
        <v>59.798741057112068</v>
      </c>
      <c r="Q443" s="331"/>
      <c r="R443" s="331"/>
      <c r="S443" s="331"/>
      <c r="T443" s="331"/>
      <c r="U443" s="331"/>
      <c r="V443" s="331"/>
      <c r="W443" s="331"/>
      <c r="X443" s="331"/>
      <c r="Y443" s="331"/>
      <c r="AQ443" s="3"/>
    </row>
    <row r="444" spans="3:43" x14ac:dyDescent="0.35">
      <c r="E444" s="32"/>
      <c r="F444" s="72" t="s">
        <v>250</v>
      </c>
      <c r="G444" s="72" t="s">
        <v>251</v>
      </c>
      <c r="J444" s="331"/>
      <c r="K444" s="331"/>
      <c r="L444" s="330">
        <f t="shared" si="108"/>
        <v>0</v>
      </c>
      <c r="M444" s="331"/>
      <c r="N444" s="330">
        <f t="shared" si="109"/>
        <v>139476.11543818653</v>
      </c>
      <c r="O444" s="330">
        <f t="shared" si="109"/>
        <v>4535.7477349343717</v>
      </c>
      <c r="P444" s="330">
        <f t="shared" si="109"/>
        <v>87679.470179934404</v>
      </c>
      <c r="Q444" s="331"/>
      <c r="R444" s="331"/>
      <c r="S444" s="331"/>
      <c r="T444" s="331"/>
      <c r="U444" s="331"/>
      <c r="V444" s="331"/>
      <c r="W444" s="331"/>
      <c r="X444" s="331"/>
      <c r="Y444" s="331"/>
      <c r="AQ444" s="3"/>
    </row>
    <row r="445" spans="3:43" x14ac:dyDescent="0.35">
      <c r="E445" s="32"/>
      <c r="F445" s="72" t="s">
        <v>252</v>
      </c>
      <c r="G445" s="72" t="s">
        <v>251</v>
      </c>
      <c r="J445" s="331"/>
      <c r="K445" s="331"/>
      <c r="L445" s="330">
        <f t="shared" si="108"/>
        <v>0</v>
      </c>
      <c r="M445" s="331"/>
      <c r="N445" s="330">
        <f t="shared" si="109"/>
        <v>2826.2676230267789</v>
      </c>
      <c r="O445" s="330">
        <f t="shared" si="109"/>
        <v>135.14383945082781</v>
      </c>
      <c r="P445" s="330">
        <f t="shared" si="109"/>
        <v>2232.0719407678152</v>
      </c>
      <c r="Q445" s="331"/>
      <c r="R445" s="331"/>
      <c r="S445" s="331"/>
      <c r="T445" s="331"/>
      <c r="U445" s="331"/>
      <c r="V445" s="331"/>
      <c r="W445" s="331"/>
      <c r="X445" s="331"/>
      <c r="Y445" s="331"/>
      <c r="AQ445" s="3"/>
    </row>
    <row r="446" spans="3:43" x14ac:dyDescent="0.35">
      <c r="E446" s="32"/>
      <c r="F446" s="80" t="s">
        <v>253</v>
      </c>
      <c r="G446" s="80" t="s">
        <v>254</v>
      </c>
      <c r="H446" s="37"/>
      <c r="I446" s="37"/>
      <c r="J446" s="81"/>
      <c r="K446" s="81"/>
      <c r="L446" s="100">
        <f t="shared" si="108"/>
        <v>0</v>
      </c>
      <c r="M446" s="81"/>
      <c r="N446" s="100">
        <f t="shared" si="109"/>
        <v>25988.908214700699</v>
      </c>
      <c r="O446" s="100">
        <f t="shared" si="109"/>
        <v>912.58129098338452</v>
      </c>
      <c r="P446" s="100">
        <f t="shared" si="109"/>
        <v>29198.388214107654</v>
      </c>
      <c r="Q446" s="81"/>
      <c r="R446" s="81"/>
      <c r="S446" s="81"/>
      <c r="T446" s="81"/>
      <c r="U446" s="81"/>
      <c r="V446" s="81"/>
      <c r="W446" s="81"/>
      <c r="X446" s="81"/>
      <c r="Y446" s="81"/>
      <c r="AQ446" s="3"/>
    </row>
    <row r="447" spans="3:43" x14ac:dyDescent="0.35">
      <c r="AQ447" s="3"/>
    </row>
    <row r="448" spans="3:43" x14ac:dyDescent="0.35">
      <c r="C448" s="31" t="str">
        <f ca="1">INDEX('Version control'!$H$34:$H$57,MATCH($A$1,'Version control'!$F$34:$F$57,0),1)&amp;"-H: Residual band 4 volume discounting"</f>
        <v>Section 104-H: Residual band 4 volume discounting</v>
      </c>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Q448" s="3"/>
    </row>
    <row r="449" spans="3:43" x14ac:dyDescent="0.35">
      <c r="C449" s="32"/>
      <c r="AQ449" s="3"/>
    </row>
    <row r="450" spans="3:43" x14ac:dyDescent="0.35">
      <c r="E450" s="32" t="s">
        <v>974</v>
      </c>
      <c r="G450" s="13"/>
      <c r="I450" t="s">
        <v>154</v>
      </c>
      <c r="AQ450" s="3"/>
    </row>
    <row r="451" spans="3:43" x14ac:dyDescent="0.35">
      <c r="E451" s="32"/>
      <c r="F451" s="78" t="s">
        <v>247</v>
      </c>
      <c r="G451" s="78" t="s">
        <v>207</v>
      </c>
      <c r="H451" s="23"/>
      <c r="I451" s="23"/>
      <c r="J451" s="83"/>
      <c r="K451" s="83"/>
      <c r="L451" s="126">
        <f t="shared" ref="L451:L457" si="110">(1 - L315) * L141</f>
        <v>6.3803251673481363</v>
      </c>
      <c r="M451" s="83"/>
      <c r="N451" s="126">
        <f t="shared" ref="N451:P457" si="111">(1 - N315) * N141</f>
        <v>66.570807293681355</v>
      </c>
      <c r="O451" s="126">
        <f t="shared" si="111"/>
        <v>0</v>
      </c>
      <c r="P451" s="126">
        <f t="shared" si="111"/>
        <v>0</v>
      </c>
      <c r="Q451" s="83"/>
      <c r="R451" s="83"/>
      <c r="S451" s="83"/>
      <c r="T451" s="83"/>
      <c r="U451" s="83"/>
      <c r="V451" s="83"/>
      <c r="W451" s="83"/>
      <c r="X451" s="83"/>
      <c r="Y451" s="83"/>
      <c r="AQ451" s="3"/>
    </row>
    <row r="452" spans="3:43" x14ac:dyDescent="0.35">
      <c r="E452" s="32"/>
      <c r="F452" s="72" t="s">
        <v>248</v>
      </c>
      <c r="G452" s="72" t="s">
        <v>207</v>
      </c>
      <c r="J452" s="331"/>
      <c r="K452" s="331"/>
      <c r="L452" s="330">
        <f t="shared" si="110"/>
        <v>37.333521847605958</v>
      </c>
      <c r="M452" s="331"/>
      <c r="N452" s="330">
        <f t="shared" si="111"/>
        <v>371.08757713454759</v>
      </c>
      <c r="O452" s="330">
        <f t="shared" si="111"/>
        <v>0</v>
      </c>
      <c r="P452" s="330">
        <f t="shared" si="111"/>
        <v>0</v>
      </c>
      <c r="Q452" s="331"/>
      <c r="R452" s="331"/>
      <c r="S452" s="331"/>
      <c r="T452" s="331"/>
      <c r="U452" s="331"/>
      <c r="V452" s="331"/>
      <c r="W452" s="331"/>
      <c r="X452" s="331"/>
      <c r="Y452" s="331"/>
      <c r="AQ452" s="3"/>
    </row>
    <row r="453" spans="3:43" x14ac:dyDescent="0.35">
      <c r="E453" s="32"/>
      <c r="F453" s="72" t="s">
        <v>249</v>
      </c>
      <c r="G453" s="72" t="s">
        <v>207</v>
      </c>
      <c r="J453" s="331"/>
      <c r="K453" s="331"/>
      <c r="L453" s="330">
        <f t="shared" si="110"/>
        <v>19.00928987604042</v>
      </c>
      <c r="M453" s="331"/>
      <c r="N453" s="330">
        <f t="shared" si="111"/>
        <v>183.29273570615166</v>
      </c>
      <c r="O453" s="330">
        <f t="shared" si="111"/>
        <v>0</v>
      </c>
      <c r="P453" s="330">
        <f t="shared" si="111"/>
        <v>0</v>
      </c>
      <c r="Q453" s="331"/>
      <c r="R453" s="331"/>
      <c r="S453" s="331"/>
      <c r="T453" s="331"/>
      <c r="U453" s="331"/>
      <c r="V453" s="331"/>
      <c r="W453" s="331"/>
      <c r="X453" s="331"/>
      <c r="Y453" s="331"/>
      <c r="AQ453" s="3"/>
    </row>
    <row r="454" spans="3:43" x14ac:dyDescent="0.35">
      <c r="E454" s="32"/>
      <c r="F454" s="72" t="s">
        <v>212</v>
      </c>
      <c r="G454" s="72" t="s">
        <v>212</v>
      </c>
      <c r="J454" s="331"/>
      <c r="K454" s="331"/>
      <c r="L454" s="330">
        <f t="shared" si="110"/>
        <v>1.6691306173948797</v>
      </c>
      <c r="M454" s="331"/>
      <c r="N454" s="330">
        <f t="shared" si="111"/>
        <v>1.0272916385110831</v>
      </c>
      <c r="O454" s="330">
        <f t="shared" si="111"/>
        <v>0</v>
      </c>
      <c r="P454" s="330">
        <f t="shared" si="111"/>
        <v>0</v>
      </c>
      <c r="Q454" s="331"/>
      <c r="R454" s="331"/>
      <c r="S454" s="331"/>
      <c r="T454" s="331"/>
      <c r="U454" s="331"/>
      <c r="V454" s="331"/>
      <c r="W454" s="331"/>
      <c r="X454" s="331"/>
      <c r="Y454" s="331"/>
      <c r="AQ454" s="3"/>
    </row>
    <row r="455" spans="3:43" x14ac:dyDescent="0.35">
      <c r="E455" s="32"/>
      <c r="F455" s="72" t="s">
        <v>250</v>
      </c>
      <c r="G455" s="72" t="s">
        <v>251</v>
      </c>
      <c r="J455" s="331"/>
      <c r="K455" s="331"/>
      <c r="L455" s="330">
        <f t="shared" si="110"/>
        <v>0</v>
      </c>
      <c r="M455" s="331"/>
      <c r="N455" s="330">
        <f t="shared" si="111"/>
        <v>667.96577139226451</v>
      </c>
      <c r="O455" s="330">
        <f t="shared" si="111"/>
        <v>0</v>
      </c>
      <c r="P455" s="330">
        <f t="shared" si="111"/>
        <v>0</v>
      </c>
      <c r="Q455" s="331"/>
      <c r="R455" s="331"/>
      <c r="S455" s="331"/>
      <c r="T455" s="331"/>
      <c r="U455" s="331"/>
      <c r="V455" s="331"/>
      <c r="W455" s="331"/>
      <c r="X455" s="331"/>
      <c r="Y455" s="331"/>
      <c r="AQ455" s="3"/>
    </row>
    <row r="456" spans="3:43" x14ac:dyDescent="0.35">
      <c r="E456" s="32"/>
      <c r="F456" s="72" t="s">
        <v>252</v>
      </c>
      <c r="G456" s="72" t="s">
        <v>251</v>
      </c>
      <c r="J456" s="331"/>
      <c r="K456" s="331"/>
      <c r="L456" s="330">
        <f t="shared" si="110"/>
        <v>0</v>
      </c>
      <c r="M456" s="331"/>
      <c r="N456" s="330">
        <f t="shared" si="111"/>
        <v>0</v>
      </c>
      <c r="O456" s="330">
        <f t="shared" si="111"/>
        <v>0</v>
      </c>
      <c r="P456" s="330">
        <f t="shared" si="111"/>
        <v>0</v>
      </c>
      <c r="Q456" s="331"/>
      <c r="R456" s="331"/>
      <c r="S456" s="331"/>
      <c r="T456" s="331"/>
      <c r="U456" s="331"/>
      <c r="V456" s="331"/>
      <c r="W456" s="331"/>
      <c r="X456" s="331"/>
      <c r="Y456" s="331"/>
      <c r="AQ456" s="3"/>
    </row>
    <row r="457" spans="3:43" x14ac:dyDescent="0.35">
      <c r="E457" s="32"/>
      <c r="F457" s="80" t="s">
        <v>253</v>
      </c>
      <c r="G457" s="80" t="s">
        <v>254</v>
      </c>
      <c r="H457" s="37"/>
      <c r="I457" s="37"/>
      <c r="J457" s="81"/>
      <c r="K457" s="81"/>
      <c r="L457" s="100">
        <f t="shared" si="110"/>
        <v>0</v>
      </c>
      <c r="M457" s="81"/>
      <c r="N457" s="100">
        <f t="shared" si="111"/>
        <v>30.973434813856944</v>
      </c>
      <c r="O457" s="100">
        <f t="shared" si="111"/>
        <v>0</v>
      </c>
      <c r="P457" s="100">
        <f t="shared" si="111"/>
        <v>0</v>
      </c>
      <c r="Q457" s="81"/>
      <c r="R457" s="81"/>
      <c r="S457" s="81"/>
      <c r="T457" s="81"/>
      <c r="U457" s="81"/>
      <c r="V457" s="81"/>
      <c r="W457" s="81"/>
      <c r="X457" s="81"/>
      <c r="Y457" s="81"/>
      <c r="AQ457" s="3"/>
    </row>
    <row r="458" spans="3:43" x14ac:dyDescent="0.35">
      <c r="AQ458" s="3"/>
    </row>
    <row r="459" spans="3:43" x14ac:dyDescent="0.35">
      <c r="E459" s="32" t="s">
        <v>975</v>
      </c>
      <c r="G459" s="13"/>
      <c r="I459" t="s">
        <v>154</v>
      </c>
      <c r="AQ459" s="3"/>
    </row>
    <row r="460" spans="3:43" x14ac:dyDescent="0.35">
      <c r="E460" s="32"/>
      <c r="F460" s="78" t="s">
        <v>247</v>
      </c>
      <c r="G460" s="78" t="s">
        <v>207</v>
      </c>
      <c r="H460" s="23"/>
      <c r="I460" s="23"/>
      <c r="J460" s="83"/>
      <c r="K460" s="83"/>
      <c r="L460" s="126">
        <f t="shared" ref="L460:L466" si="112">(1 - L324) * L188</f>
        <v>37.664341331283282</v>
      </c>
      <c r="M460" s="83"/>
      <c r="N460" s="126">
        <f t="shared" ref="N460:P466" si="113">(1 - N324) * N188</f>
        <v>121.14013148959224</v>
      </c>
      <c r="O460" s="126">
        <f t="shared" si="113"/>
        <v>54.054667013411233</v>
      </c>
      <c r="P460" s="126">
        <f t="shared" si="113"/>
        <v>2.27795564495591</v>
      </c>
      <c r="Q460" s="83"/>
      <c r="R460" s="83"/>
      <c r="S460" s="83"/>
      <c r="T460" s="83"/>
      <c r="U460" s="83"/>
      <c r="V460" s="83"/>
      <c r="W460" s="83"/>
      <c r="X460" s="83"/>
      <c r="Y460" s="83"/>
      <c r="AQ460" s="3"/>
    </row>
    <row r="461" spans="3:43" x14ac:dyDescent="0.35">
      <c r="E461" s="32"/>
      <c r="F461" s="72" t="s">
        <v>248</v>
      </c>
      <c r="G461" s="72" t="s">
        <v>207</v>
      </c>
      <c r="J461" s="331"/>
      <c r="K461" s="331"/>
      <c r="L461" s="330">
        <f t="shared" si="112"/>
        <v>201.36564781592872</v>
      </c>
      <c r="M461" s="331"/>
      <c r="N461" s="330">
        <f t="shared" si="113"/>
        <v>917.11553446175037</v>
      </c>
      <c r="O461" s="330">
        <f t="shared" si="113"/>
        <v>239.74669207360827</v>
      </c>
      <c r="P461" s="330">
        <f t="shared" si="113"/>
        <v>9.5660435034831366</v>
      </c>
      <c r="Q461" s="331"/>
      <c r="R461" s="331"/>
      <c r="S461" s="331"/>
      <c r="T461" s="331"/>
      <c r="U461" s="331"/>
      <c r="V461" s="331"/>
      <c r="W461" s="331"/>
      <c r="X461" s="331"/>
      <c r="Y461" s="331"/>
      <c r="AQ461" s="3"/>
    </row>
    <row r="462" spans="3:43" x14ac:dyDescent="0.35">
      <c r="E462" s="32"/>
      <c r="F462" s="72" t="s">
        <v>249</v>
      </c>
      <c r="G462" s="72" t="s">
        <v>207</v>
      </c>
      <c r="J462" s="331"/>
      <c r="K462" s="331"/>
      <c r="L462" s="330">
        <f t="shared" si="112"/>
        <v>112.05616943813908</v>
      </c>
      <c r="M462" s="331"/>
      <c r="N462" s="330">
        <f t="shared" si="113"/>
        <v>762.33197479130297</v>
      </c>
      <c r="O462" s="330">
        <f t="shared" si="113"/>
        <v>263.26144441086836</v>
      </c>
      <c r="P462" s="330">
        <f t="shared" si="113"/>
        <v>7.3206520852188159</v>
      </c>
      <c r="Q462" s="331"/>
      <c r="R462" s="331"/>
      <c r="S462" s="331"/>
      <c r="T462" s="331"/>
      <c r="U462" s="331"/>
      <c r="V462" s="331"/>
      <c r="W462" s="331"/>
      <c r="X462" s="331"/>
      <c r="Y462" s="331"/>
      <c r="AQ462" s="3"/>
    </row>
    <row r="463" spans="3:43" x14ac:dyDescent="0.35">
      <c r="E463" s="32"/>
      <c r="F463" s="72" t="s">
        <v>212</v>
      </c>
      <c r="G463" s="72" t="s">
        <v>212</v>
      </c>
      <c r="J463" s="331"/>
      <c r="K463" s="331"/>
      <c r="L463" s="330">
        <f t="shared" si="112"/>
        <v>5.310058166495776</v>
      </c>
      <c r="M463" s="331"/>
      <c r="N463" s="330">
        <f t="shared" si="113"/>
        <v>0.89234687490688891</v>
      </c>
      <c r="O463" s="330">
        <f t="shared" si="113"/>
        <v>0.79750268835304028</v>
      </c>
      <c r="P463" s="330">
        <f t="shared" si="113"/>
        <v>5.7743023166554767E-2</v>
      </c>
      <c r="Q463" s="331"/>
      <c r="R463" s="331"/>
      <c r="S463" s="331"/>
      <c r="T463" s="331"/>
      <c r="U463" s="331"/>
      <c r="V463" s="331"/>
      <c r="W463" s="331"/>
      <c r="X463" s="331"/>
      <c r="Y463" s="331"/>
      <c r="AQ463" s="3"/>
    </row>
    <row r="464" spans="3:43" x14ac:dyDescent="0.35">
      <c r="E464" s="32"/>
      <c r="F464" s="72" t="s">
        <v>250</v>
      </c>
      <c r="G464" s="72" t="s">
        <v>251</v>
      </c>
      <c r="J464" s="331"/>
      <c r="K464" s="331"/>
      <c r="L464" s="330">
        <f t="shared" si="112"/>
        <v>0</v>
      </c>
      <c r="M464" s="331"/>
      <c r="N464" s="330">
        <f t="shared" si="113"/>
        <v>661.0417730246869</v>
      </c>
      <c r="O464" s="330">
        <f t="shared" si="113"/>
        <v>520.98601270562801</v>
      </c>
      <c r="P464" s="330">
        <f t="shared" si="113"/>
        <v>5673.690945631879</v>
      </c>
      <c r="Q464" s="331"/>
      <c r="R464" s="331"/>
      <c r="S464" s="331"/>
      <c r="T464" s="331"/>
      <c r="U464" s="331"/>
      <c r="V464" s="331"/>
      <c r="W464" s="331"/>
      <c r="X464" s="331"/>
      <c r="Y464" s="331"/>
      <c r="AQ464" s="3"/>
    </row>
    <row r="465" spans="3:43" x14ac:dyDescent="0.35">
      <c r="E465" s="32"/>
      <c r="F465" s="72" t="s">
        <v>252</v>
      </c>
      <c r="G465" s="72" t="s">
        <v>251</v>
      </c>
      <c r="J465" s="331"/>
      <c r="K465" s="331"/>
      <c r="L465" s="330">
        <f t="shared" si="112"/>
        <v>0</v>
      </c>
      <c r="M465" s="331"/>
      <c r="N465" s="330">
        <f t="shared" si="113"/>
        <v>5.4713766014082434</v>
      </c>
      <c r="O465" s="330">
        <f t="shared" si="113"/>
        <v>0</v>
      </c>
      <c r="P465" s="330">
        <f t="shared" si="113"/>
        <v>0</v>
      </c>
      <c r="Q465" s="331"/>
      <c r="R465" s="331"/>
      <c r="S465" s="331"/>
      <c r="T465" s="331"/>
      <c r="U465" s="331"/>
      <c r="V465" s="331"/>
      <c r="W465" s="331"/>
      <c r="X465" s="331"/>
      <c r="Y465" s="331"/>
      <c r="AQ465" s="3"/>
    </row>
    <row r="466" spans="3:43" x14ac:dyDescent="0.35">
      <c r="E466" s="32"/>
      <c r="F466" s="80" t="s">
        <v>253</v>
      </c>
      <c r="G466" s="80" t="s">
        <v>254</v>
      </c>
      <c r="H466" s="37"/>
      <c r="I466" s="37"/>
      <c r="J466" s="81"/>
      <c r="K466" s="81"/>
      <c r="L466" s="100">
        <f t="shared" si="112"/>
        <v>0</v>
      </c>
      <c r="M466" s="81"/>
      <c r="N466" s="100">
        <f t="shared" si="113"/>
        <v>106.90713728108257</v>
      </c>
      <c r="O466" s="100">
        <f t="shared" si="113"/>
        <v>0.20816082069543312</v>
      </c>
      <c r="P466" s="100">
        <f t="shared" si="113"/>
        <v>0</v>
      </c>
      <c r="Q466" s="81"/>
      <c r="R466" s="81"/>
      <c r="S466" s="81"/>
      <c r="T466" s="81"/>
      <c r="U466" s="81"/>
      <c r="V466" s="81"/>
      <c r="W466" s="81"/>
      <c r="X466" s="81"/>
      <c r="Y466" s="81"/>
      <c r="AQ466" s="3"/>
    </row>
    <row r="467" spans="3:43" x14ac:dyDescent="0.35">
      <c r="AQ467" s="3"/>
    </row>
    <row r="468" spans="3:43" x14ac:dyDescent="0.35">
      <c r="E468" s="32" t="s">
        <v>976</v>
      </c>
      <c r="G468" s="13"/>
      <c r="I468" t="s">
        <v>154</v>
      </c>
      <c r="AQ468" s="3"/>
    </row>
    <row r="469" spans="3:43" x14ac:dyDescent="0.35">
      <c r="E469" s="32"/>
      <c r="F469" s="78" t="s">
        <v>247</v>
      </c>
      <c r="G469" s="78" t="s">
        <v>207</v>
      </c>
      <c r="H469" s="23"/>
      <c r="I469" s="23"/>
      <c r="J469" s="83"/>
      <c r="K469" s="83"/>
      <c r="L469" s="126">
        <f t="shared" ref="L469:L475" si="114">L94+L451+L460</f>
        <v>60941.367063452548</v>
      </c>
      <c r="M469" s="83"/>
      <c r="N469" s="126">
        <f t="shared" ref="N469:P475" si="115">N94+N451+N460</f>
        <v>60929.567540581636</v>
      </c>
      <c r="O469" s="126">
        <f t="shared" si="115"/>
        <v>9099.680605809619</v>
      </c>
      <c r="P469" s="126">
        <f t="shared" si="115"/>
        <v>32106.223758912016</v>
      </c>
      <c r="Q469" s="83"/>
      <c r="R469" s="83"/>
      <c r="S469" s="83"/>
      <c r="T469" s="83"/>
      <c r="U469" s="83"/>
      <c r="V469" s="83"/>
      <c r="W469" s="83"/>
      <c r="X469" s="83"/>
      <c r="Y469" s="83"/>
      <c r="AQ469" s="3"/>
    </row>
    <row r="470" spans="3:43" x14ac:dyDescent="0.35">
      <c r="E470" s="32"/>
      <c r="F470" s="72" t="s">
        <v>248</v>
      </c>
      <c r="G470" s="72" t="s">
        <v>207</v>
      </c>
      <c r="J470" s="331"/>
      <c r="K470" s="331"/>
      <c r="L470" s="330">
        <f t="shared" si="114"/>
        <v>317220.11282663571</v>
      </c>
      <c r="M470" s="331"/>
      <c r="N470" s="330">
        <f t="shared" si="115"/>
        <v>305257.6236596423</v>
      </c>
      <c r="O470" s="330">
        <f t="shared" si="115"/>
        <v>42945.256173017624</v>
      </c>
      <c r="P470" s="330">
        <f t="shared" si="115"/>
        <v>158529.39533256378</v>
      </c>
      <c r="Q470" s="331"/>
      <c r="R470" s="331"/>
      <c r="S470" s="331"/>
      <c r="T470" s="331"/>
      <c r="U470" s="331"/>
      <c r="V470" s="331"/>
      <c r="W470" s="331"/>
      <c r="X470" s="331"/>
      <c r="Y470" s="331"/>
      <c r="AQ470" s="3"/>
    </row>
    <row r="471" spans="3:43" x14ac:dyDescent="0.35">
      <c r="E471" s="32"/>
      <c r="F471" s="72" t="s">
        <v>249</v>
      </c>
      <c r="G471" s="72" t="s">
        <v>207</v>
      </c>
      <c r="J471" s="331"/>
      <c r="K471" s="331"/>
      <c r="L471" s="330">
        <f t="shared" si="114"/>
        <v>212606.93273914693</v>
      </c>
      <c r="M471" s="331"/>
      <c r="N471" s="330">
        <f t="shared" si="115"/>
        <v>243723.13078113797</v>
      </c>
      <c r="O471" s="330">
        <f t="shared" si="115"/>
        <v>41931.18068679946</v>
      </c>
      <c r="P471" s="330">
        <f t="shared" si="115"/>
        <v>147112.99843613809</v>
      </c>
      <c r="Q471" s="331"/>
      <c r="R471" s="331"/>
      <c r="S471" s="331"/>
      <c r="T471" s="331"/>
      <c r="U471" s="331"/>
      <c r="V471" s="331"/>
      <c r="W471" s="331"/>
      <c r="X471" s="331"/>
      <c r="Y471" s="331"/>
      <c r="AQ471" s="3"/>
    </row>
    <row r="472" spans="3:43" x14ac:dyDescent="0.35">
      <c r="E472" s="32"/>
      <c r="F472" s="72" t="s">
        <v>212</v>
      </c>
      <c r="G472" s="72" t="s">
        <v>212</v>
      </c>
      <c r="J472" s="331"/>
      <c r="K472" s="331"/>
      <c r="L472" s="330">
        <f t="shared" si="114"/>
        <v>10495.022784677198</v>
      </c>
      <c r="M472" s="331"/>
      <c r="N472" s="330">
        <f t="shared" si="115"/>
        <v>986.38321479922172</v>
      </c>
      <c r="O472" s="330">
        <f t="shared" si="115"/>
        <v>71.834687563207993</v>
      </c>
      <c r="P472" s="330">
        <f t="shared" si="115"/>
        <v>54.643677172878263</v>
      </c>
      <c r="Q472" s="331"/>
      <c r="R472" s="331"/>
      <c r="S472" s="331"/>
      <c r="T472" s="331"/>
      <c r="U472" s="331"/>
      <c r="V472" s="331"/>
      <c r="W472" s="331"/>
      <c r="X472" s="331"/>
      <c r="Y472" s="331"/>
      <c r="AQ472" s="3"/>
    </row>
    <row r="473" spans="3:43" x14ac:dyDescent="0.35">
      <c r="E473" s="32"/>
      <c r="F473" s="72" t="s">
        <v>250</v>
      </c>
      <c r="G473" s="72" t="s">
        <v>251</v>
      </c>
      <c r="J473" s="331"/>
      <c r="K473" s="331"/>
      <c r="L473" s="330">
        <f t="shared" si="114"/>
        <v>0</v>
      </c>
      <c r="M473" s="331"/>
      <c r="N473" s="330">
        <f t="shared" si="115"/>
        <v>379644.24613409064</v>
      </c>
      <c r="O473" s="330">
        <f t="shared" si="115"/>
        <v>35424.721111452629</v>
      </c>
      <c r="P473" s="330">
        <f t="shared" si="115"/>
        <v>175953.22470446629</v>
      </c>
      <c r="Q473" s="331"/>
      <c r="R473" s="331"/>
      <c r="S473" s="331"/>
      <c r="T473" s="331"/>
      <c r="U473" s="331"/>
      <c r="V473" s="331"/>
      <c r="W473" s="331"/>
      <c r="X473" s="331"/>
      <c r="Y473" s="331"/>
      <c r="AQ473" s="3"/>
    </row>
    <row r="474" spans="3:43" x14ac:dyDescent="0.35">
      <c r="E474" s="32"/>
      <c r="F474" s="72" t="s">
        <v>252</v>
      </c>
      <c r="G474" s="72" t="s">
        <v>251</v>
      </c>
      <c r="J474" s="331"/>
      <c r="K474" s="331"/>
      <c r="L474" s="330">
        <f t="shared" si="114"/>
        <v>0</v>
      </c>
      <c r="M474" s="331"/>
      <c r="N474" s="330">
        <f t="shared" si="115"/>
        <v>7692.9031020563161</v>
      </c>
      <c r="O474" s="330">
        <f t="shared" si="115"/>
        <v>1055.489216387334</v>
      </c>
      <c r="P474" s="330">
        <f t="shared" si="115"/>
        <v>4479.2726842951743</v>
      </c>
      <c r="Q474" s="331"/>
      <c r="R474" s="331"/>
      <c r="S474" s="331"/>
      <c r="T474" s="331"/>
      <c r="U474" s="331"/>
      <c r="V474" s="331"/>
      <c r="W474" s="331"/>
      <c r="X474" s="331"/>
      <c r="Y474" s="331"/>
      <c r="AQ474" s="3"/>
    </row>
    <row r="475" spans="3:43" x14ac:dyDescent="0.35">
      <c r="E475" s="32"/>
      <c r="F475" s="80" t="s">
        <v>253</v>
      </c>
      <c r="G475" s="80" t="s">
        <v>254</v>
      </c>
      <c r="H475" s="37"/>
      <c r="I475" s="37"/>
      <c r="J475" s="81"/>
      <c r="K475" s="81"/>
      <c r="L475" s="100">
        <f t="shared" si="114"/>
        <v>0</v>
      </c>
      <c r="M475" s="81"/>
      <c r="N475" s="100">
        <f t="shared" si="115"/>
        <v>70739.993267096754</v>
      </c>
      <c r="O475" s="100">
        <f t="shared" si="115"/>
        <v>7127.3667791587523</v>
      </c>
      <c r="P475" s="100">
        <f t="shared" si="115"/>
        <v>58594.680737713454</v>
      </c>
      <c r="Q475" s="81"/>
      <c r="R475" s="81"/>
      <c r="S475" s="81"/>
      <c r="T475" s="81"/>
      <c r="U475" s="81"/>
      <c r="V475" s="81"/>
      <c r="W475" s="81"/>
      <c r="X475" s="81"/>
      <c r="Y475" s="81"/>
      <c r="AQ475" s="3"/>
    </row>
    <row r="476" spans="3:43" x14ac:dyDescent="0.35">
      <c r="AQ476" s="3"/>
    </row>
    <row r="477" spans="3:43" x14ac:dyDescent="0.35">
      <c r="C477" s="31" t="str">
        <f ca="1">INDEX('Version control'!$H$34:$H$57,MATCH($A$1,'Version control'!$F$34:$F$57,0),1)&amp;"-I: Discounted volumes by residual band"</f>
        <v>Section 104-I: Discounted volumes by residual band</v>
      </c>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Q477" s="3"/>
    </row>
    <row r="478" spans="3:43" x14ac:dyDescent="0.35">
      <c r="C478" s="32"/>
      <c r="AQ478" s="3"/>
    </row>
    <row r="479" spans="3:43" x14ac:dyDescent="0.35">
      <c r="D479" s="32" t="s">
        <v>1016</v>
      </c>
      <c r="AQ479" s="3"/>
    </row>
    <row r="480" spans="3:43" x14ac:dyDescent="0.35">
      <c r="E480" s="78" t="s">
        <v>247</v>
      </c>
      <c r="F480" s="23"/>
      <c r="G480" s="23"/>
      <c r="H480" s="23"/>
      <c r="I480" s="23"/>
      <c r="J480" s="23"/>
      <c r="K480" s="23"/>
      <c r="L480" s="23"/>
      <c r="M480" s="23"/>
      <c r="N480" s="23"/>
      <c r="O480" s="23"/>
      <c r="P480" s="23"/>
      <c r="Q480" s="23"/>
      <c r="R480" s="23"/>
      <c r="S480" s="23"/>
      <c r="T480" s="23"/>
      <c r="U480" s="23"/>
      <c r="V480" s="23"/>
      <c r="W480" s="23"/>
      <c r="X480" s="23"/>
      <c r="Y480" s="23"/>
      <c r="AQ480" s="3"/>
    </row>
    <row r="481" spans="5:43" x14ac:dyDescent="0.35">
      <c r="E481" s="352"/>
      <c r="F481" s="2" t="s">
        <v>983</v>
      </c>
      <c r="G481" t="s">
        <v>207</v>
      </c>
      <c r="J481" s="131">
        <f t="shared" ref="J481:Y481" si="116">J353</f>
        <v>0</v>
      </c>
      <c r="K481" s="131">
        <f t="shared" si="116"/>
        <v>9396.1650095049135</v>
      </c>
      <c r="L481" s="131">
        <f t="shared" si="116"/>
        <v>0</v>
      </c>
      <c r="M481" s="131">
        <f t="shared" si="116"/>
        <v>454.90419700623829</v>
      </c>
      <c r="N481" s="131">
        <f t="shared" si="116"/>
        <v>0</v>
      </c>
      <c r="O481" s="131">
        <f t="shared" si="116"/>
        <v>0</v>
      </c>
      <c r="P481" s="131">
        <f t="shared" si="116"/>
        <v>0</v>
      </c>
      <c r="Q481" s="131">
        <f t="shared" si="116"/>
        <v>0</v>
      </c>
      <c r="R481" s="131">
        <f t="shared" si="116"/>
        <v>650.78467700282442</v>
      </c>
      <c r="S481" s="131">
        <f t="shared" si="116"/>
        <v>0.19900000000000004</v>
      </c>
      <c r="T481" s="131">
        <f t="shared" si="116"/>
        <v>37028.598245563808</v>
      </c>
      <c r="U481" s="131">
        <f t="shared" si="116"/>
        <v>0</v>
      </c>
      <c r="V481" s="131">
        <f t="shared" si="116"/>
        <v>324.10167419354838</v>
      </c>
      <c r="W481" s="131">
        <f t="shared" si="116"/>
        <v>0</v>
      </c>
      <c r="X481" s="131">
        <f t="shared" si="116"/>
        <v>166464.50181248464</v>
      </c>
      <c r="Y481" s="131">
        <f t="shared" si="116"/>
        <v>0</v>
      </c>
      <c r="AQ481" s="3"/>
    </row>
    <row r="482" spans="5:43" x14ac:dyDescent="0.35">
      <c r="E482" s="352"/>
      <c r="F482" s="2" t="s">
        <v>984</v>
      </c>
      <c r="G482" t="s">
        <v>207</v>
      </c>
      <c r="J482" s="364">
        <f t="shared" ref="J482:Y482" si="117">J382</f>
        <v>324470.38323020173</v>
      </c>
      <c r="K482" s="364">
        <f t="shared" si="117"/>
        <v>0</v>
      </c>
      <c r="L482" s="364">
        <f t="shared" si="117"/>
        <v>3442.9274264339338</v>
      </c>
      <c r="M482" s="364">
        <f t="shared" si="117"/>
        <v>0</v>
      </c>
      <c r="N482" s="364">
        <f t="shared" si="117"/>
        <v>28816.593330534015</v>
      </c>
      <c r="O482" s="364">
        <f t="shared" si="117"/>
        <v>641.17409023776929</v>
      </c>
      <c r="P482" s="364">
        <f t="shared" si="117"/>
        <v>6872.1524090227194</v>
      </c>
      <c r="Q482" s="364">
        <f t="shared" si="117"/>
        <v>6024.6308921944819</v>
      </c>
      <c r="R482" s="364">
        <f t="shared" si="117"/>
        <v>0</v>
      </c>
      <c r="S482" s="364">
        <f t="shared" si="117"/>
        <v>0</v>
      </c>
      <c r="T482" s="364">
        <f t="shared" si="117"/>
        <v>0</v>
      </c>
      <c r="U482" s="364">
        <f t="shared" si="117"/>
        <v>0</v>
      </c>
      <c r="V482" s="364">
        <f t="shared" si="117"/>
        <v>0</v>
      </c>
      <c r="W482" s="364">
        <f t="shared" si="117"/>
        <v>0</v>
      </c>
      <c r="X482" s="364">
        <f t="shared" si="117"/>
        <v>0</v>
      </c>
      <c r="Y482" s="364">
        <f t="shared" si="117"/>
        <v>0</v>
      </c>
      <c r="AQ482" s="3"/>
    </row>
    <row r="483" spans="5:43" x14ac:dyDescent="0.35">
      <c r="E483" s="352"/>
      <c r="F483" s="2" t="s">
        <v>985</v>
      </c>
      <c r="G483" t="s">
        <v>207</v>
      </c>
      <c r="J483" s="364">
        <f t="shared" ref="J483:Y483" si="118">J411</f>
        <v>0</v>
      </c>
      <c r="K483" s="364">
        <f t="shared" si="118"/>
        <v>0</v>
      </c>
      <c r="L483" s="364">
        <f t="shared" si="118"/>
        <v>16526.732081315939</v>
      </c>
      <c r="M483" s="364">
        <f t="shared" si="118"/>
        <v>0</v>
      </c>
      <c r="N483" s="364">
        <f t="shared" si="118"/>
        <v>29605.045514240275</v>
      </c>
      <c r="O483" s="364">
        <f t="shared" si="118"/>
        <v>393.26997824978929</v>
      </c>
      <c r="P483" s="364">
        <f t="shared" si="118"/>
        <v>19108.403971188476</v>
      </c>
      <c r="Q483" s="364">
        <f t="shared" si="118"/>
        <v>0</v>
      </c>
      <c r="R483" s="364">
        <f t="shared" si="118"/>
        <v>0</v>
      </c>
      <c r="S483" s="364">
        <f t="shared" si="118"/>
        <v>0</v>
      </c>
      <c r="T483" s="364">
        <f t="shared" si="118"/>
        <v>0</v>
      </c>
      <c r="U483" s="364">
        <f t="shared" si="118"/>
        <v>0</v>
      </c>
      <c r="V483" s="364">
        <f t="shared" si="118"/>
        <v>0</v>
      </c>
      <c r="W483" s="364">
        <f t="shared" si="118"/>
        <v>0</v>
      </c>
      <c r="X483" s="364">
        <f t="shared" si="118"/>
        <v>0</v>
      </c>
      <c r="Y483" s="364">
        <f t="shared" si="118"/>
        <v>0</v>
      </c>
      <c r="AQ483" s="3"/>
    </row>
    <row r="484" spans="5:43" x14ac:dyDescent="0.35">
      <c r="E484" s="352"/>
      <c r="F484" s="2" t="s">
        <v>987</v>
      </c>
      <c r="G484" t="s">
        <v>207</v>
      </c>
      <c r="J484" s="101">
        <f t="shared" ref="J484:Y484" si="119">J440</f>
        <v>0</v>
      </c>
      <c r="K484" s="101">
        <f t="shared" si="119"/>
        <v>0</v>
      </c>
      <c r="L484" s="101">
        <f t="shared" si="119"/>
        <v>23027.110824979114</v>
      </c>
      <c r="M484" s="101">
        <f t="shared" si="119"/>
        <v>0</v>
      </c>
      <c r="N484" s="101">
        <f t="shared" si="119"/>
        <v>22384.691674972386</v>
      </c>
      <c r="O484" s="101">
        <f t="shared" si="119"/>
        <v>1165.1144850674229</v>
      </c>
      <c r="P484" s="101">
        <f t="shared" si="119"/>
        <v>15998.892281673381</v>
      </c>
      <c r="Q484" s="101">
        <f t="shared" si="119"/>
        <v>0</v>
      </c>
      <c r="R484" s="101">
        <f t="shared" si="119"/>
        <v>0</v>
      </c>
      <c r="S484" s="101">
        <f t="shared" si="119"/>
        <v>0</v>
      </c>
      <c r="T484" s="101">
        <f t="shared" si="119"/>
        <v>0</v>
      </c>
      <c r="U484" s="101">
        <f t="shared" si="119"/>
        <v>0</v>
      </c>
      <c r="V484" s="101">
        <f t="shared" si="119"/>
        <v>0</v>
      </c>
      <c r="W484" s="101">
        <f t="shared" si="119"/>
        <v>0</v>
      </c>
      <c r="X484" s="101">
        <f t="shared" si="119"/>
        <v>0</v>
      </c>
      <c r="Y484" s="101">
        <f t="shared" si="119"/>
        <v>0</v>
      </c>
      <c r="AQ484" s="3"/>
    </row>
    <row r="485" spans="5:43" x14ac:dyDescent="0.35">
      <c r="E485" s="352"/>
      <c r="F485" s="2" t="s">
        <v>986</v>
      </c>
      <c r="G485" t="s">
        <v>207</v>
      </c>
      <c r="J485" s="101">
        <f t="shared" ref="J485:Y485" si="120">J469</f>
        <v>0</v>
      </c>
      <c r="K485" s="101">
        <f t="shared" si="120"/>
        <v>0</v>
      </c>
      <c r="L485" s="101">
        <f t="shared" si="120"/>
        <v>60941.367063452548</v>
      </c>
      <c r="M485" s="101">
        <f t="shared" si="120"/>
        <v>0</v>
      </c>
      <c r="N485" s="101">
        <f t="shared" si="120"/>
        <v>60929.567540581636</v>
      </c>
      <c r="O485" s="101">
        <f t="shared" si="120"/>
        <v>9099.680605809619</v>
      </c>
      <c r="P485" s="101">
        <f t="shared" si="120"/>
        <v>32106.223758912016</v>
      </c>
      <c r="Q485" s="101">
        <f t="shared" si="120"/>
        <v>0</v>
      </c>
      <c r="R485" s="101">
        <f t="shared" si="120"/>
        <v>0</v>
      </c>
      <c r="S485" s="101">
        <f t="shared" si="120"/>
        <v>0</v>
      </c>
      <c r="T485" s="101">
        <f t="shared" si="120"/>
        <v>0</v>
      </c>
      <c r="U485" s="101">
        <f t="shared" si="120"/>
        <v>0</v>
      </c>
      <c r="V485" s="101">
        <f t="shared" si="120"/>
        <v>0</v>
      </c>
      <c r="W485" s="101">
        <f t="shared" si="120"/>
        <v>0</v>
      </c>
      <c r="X485" s="101">
        <f t="shared" si="120"/>
        <v>0</v>
      </c>
      <c r="Y485" s="101">
        <f t="shared" si="120"/>
        <v>0</v>
      </c>
      <c r="AQ485" s="3"/>
    </row>
    <row r="486" spans="5:43" x14ac:dyDescent="0.35">
      <c r="E486" s="72" t="s">
        <v>248</v>
      </c>
      <c r="F486" s="2"/>
      <c r="J486" s="26"/>
      <c r="K486" s="26"/>
      <c r="L486" s="26"/>
      <c r="M486" s="26"/>
      <c r="N486" s="26"/>
      <c r="O486" s="26"/>
      <c r="P486" s="26"/>
      <c r="Q486" s="26"/>
      <c r="R486" s="26"/>
      <c r="S486" s="26"/>
      <c r="T486" s="26"/>
      <c r="U486" s="26"/>
      <c r="V486" s="26"/>
      <c r="W486" s="26"/>
      <c r="X486" s="26"/>
      <c r="Y486" s="26"/>
      <c r="AQ486" s="3"/>
    </row>
    <row r="487" spans="5:43" x14ac:dyDescent="0.35">
      <c r="E487" s="352"/>
      <c r="F487" s="2" t="s">
        <v>983</v>
      </c>
      <c r="G487" t="s">
        <v>207</v>
      </c>
      <c r="J487" s="131">
        <f t="shared" ref="J487:Y487" si="121">J354</f>
        <v>0</v>
      </c>
      <c r="K487" s="131">
        <f t="shared" si="121"/>
        <v>146290.47824065451</v>
      </c>
      <c r="L487" s="131">
        <f t="shared" si="121"/>
        <v>0</v>
      </c>
      <c r="M487" s="131">
        <f t="shared" si="121"/>
        <v>8911.3295663483332</v>
      </c>
      <c r="N487" s="131">
        <f t="shared" si="121"/>
        <v>0</v>
      </c>
      <c r="O487" s="131">
        <f t="shared" si="121"/>
        <v>0</v>
      </c>
      <c r="P487" s="131">
        <f t="shared" si="121"/>
        <v>0</v>
      </c>
      <c r="Q487" s="131">
        <f t="shared" si="121"/>
        <v>0</v>
      </c>
      <c r="R487" s="131">
        <f t="shared" si="121"/>
        <v>3502.3381089269142</v>
      </c>
      <c r="S487" s="131">
        <f t="shared" si="121"/>
        <v>1.391</v>
      </c>
      <c r="T487" s="131">
        <f t="shared" si="121"/>
        <v>177224.06606561315</v>
      </c>
      <c r="U487" s="131">
        <f t="shared" si="121"/>
        <v>0</v>
      </c>
      <c r="V487" s="131">
        <f t="shared" si="121"/>
        <v>1487.9755864997869</v>
      </c>
      <c r="W487" s="131">
        <f t="shared" si="121"/>
        <v>0</v>
      </c>
      <c r="X487" s="131">
        <f t="shared" si="121"/>
        <v>712457.12239743408</v>
      </c>
      <c r="Y487" s="131">
        <f t="shared" si="121"/>
        <v>0</v>
      </c>
      <c r="AQ487" s="3"/>
    </row>
    <row r="488" spans="5:43" x14ac:dyDescent="0.35">
      <c r="E488" s="352"/>
      <c r="F488" s="2" t="s">
        <v>984</v>
      </c>
      <c r="G488" t="s">
        <v>207</v>
      </c>
      <c r="J488" s="364">
        <f t="shared" ref="J488:Y488" si="122">J383</f>
        <v>1243340.7641607483</v>
      </c>
      <c r="K488" s="364">
        <f t="shared" si="122"/>
        <v>0</v>
      </c>
      <c r="L488" s="364">
        <f t="shared" si="122"/>
        <v>17921.583963322006</v>
      </c>
      <c r="M488" s="364">
        <f t="shared" si="122"/>
        <v>0</v>
      </c>
      <c r="N488" s="364">
        <f t="shared" si="122"/>
        <v>144371.36446416241</v>
      </c>
      <c r="O488" s="364">
        <f t="shared" si="122"/>
        <v>3025.9727510856565</v>
      </c>
      <c r="P488" s="364">
        <f t="shared" si="122"/>
        <v>33932.3046589429</v>
      </c>
      <c r="Q488" s="364">
        <f t="shared" si="122"/>
        <v>29317.628247349428</v>
      </c>
      <c r="R488" s="364">
        <f t="shared" si="122"/>
        <v>0</v>
      </c>
      <c r="S488" s="364">
        <f t="shared" si="122"/>
        <v>0</v>
      </c>
      <c r="T488" s="364">
        <f t="shared" si="122"/>
        <v>0</v>
      </c>
      <c r="U488" s="364">
        <f t="shared" si="122"/>
        <v>0</v>
      </c>
      <c r="V488" s="364">
        <f t="shared" si="122"/>
        <v>0</v>
      </c>
      <c r="W488" s="364">
        <f t="shared" si="122"/>
        <v>0</v>
      </c>
      <c r="X488" s="364">
        <f t="shared" si="122"/>
        <v>0</v>
      </c>
      <c r="Y488" s="364">
        <f t="shared" si="122"/>
        <v>0</v>
      </c>
      <c r="AQ488" s="3"/>
    </row>
    <row r="489" spans="5:43" x14ac:dyDescent="0.35">
      <c r="E489" s="352"/>
      <c r="F489" s="2" t="s">
        <v>985</v>
      </c>
      <c r="G489" t="s">
        <v>207</v>
      </c>
      <c r="J489" s="364">
        <f t="shared" ref="J489:Y489" si="123">J412</f>
        <v>0</v>
      </c>
      <c r="K489" s="364">
        <f t="shared" si="123"/>
        <v>0</v>
      </c>
      <c r="L489" s="364">
        <f t="shared" si="123"/>
        <v>86027.144911796611</v>
      </c>
      <c r="M489" s="364">
        <f t="shared" si="123"/>
        <v>0</v>
      </c>
      <c r="N489" s="364">
        <f t="shared" si="123"/>
        <v>148321.51624896095</v>
      </c>
      <c r="O489" s="364">
        <f t="shared" si="123"/>
        <v>1856.0079955236642</v>
      </c>
      <c r="P489" s="364">
        <f t="shared" si="123"/>
        <v>94350.670140147355</v>
      </c>
      <c r="Q489" s="364">
        <f t="shared" si="123"/>
        <v>0</v>
      </c>
      <c r="R489" s="364">
        <f t="shared" si="123"/>
        <v>0</v>
      </c>
      <c r="S489" s="364">
        <f t="shared" si="123"/>
        <v>0</v>
      </c>
      <c r="T489" s="364">
        <f t="shared" si="123"/>
        <v>0</v>
      </c>
      <c r="U489" s="364">
        <f t="shared" si="123"/>
        <v>0</v>
      </c>
      <c r="V489" s="364">
        <f t="shared" si="123"/>
        <v>0</v>
      </c>
      <c r="W489" s="364">
        <f t="shared" si="123"/>
        <v>0</v>
      </c>
      <c r="X489" s="364">
        <f t="shared" si="123"/>
        <v>0</v>
      </c>
      <c r="Y489" s="364">
        <f t="shared" si="123"/>
        <v>0</v>
      </c>
      <c r="AQ489" s="3"/>
    </row>
    <row r="490" spans="5:43" x14ac:dyDescent="0.35">
      <c r="E490" s="352"/>
      <c r="F490" s="2" t="s">
        <v>987</v>
      </c>
      <c r="G490" t="s">
        <v>207</v>
      </c>
      <c r="J490" s="101">
        <f t="shared" ref="J490:Y490" si="124">J441</f>
        <v>0</v>
      </c>
      <c r="K490" s="101">
        <f t="shared" si="124"/>
        <v>0</v>
      </c>
      <c r="L490" s="101">
        <f t="shared" si="124"/>
        <v>119863.78130253717</v>
      </c>
      <c r="M490" s="101">
        <f t="shared" si="124"/>
        <v>0</v>
      </c>
      <c r="N490" s="101">
        <f t="shared" si="124"/>
        <v>112147.48541428134</v>
      </c>
      <c r="O490" s="101">
        <f t="shared" si="124"/>
        <v>5498.669920367186</v>
      </c>
      <c r="P490" s="101">
        <f t="shared" si="124"/>
        <v>78996.980101108304</v>
      </c>
      <c r="Q490" s="101">
        <f t="shared" si="124"/>
        <v>0</v>
      </c>
      <c r="R490" s="101">
        <f t="shared" si="124"/>
        <v>0</v>
      </c>
      <c r="S490" s="101">
        <f t="shared" si="124"/>
        <v>0</v>
      </c>
      <c r="T490" s="101">
        <f t="shared" si="124"/>
        <v>0</v>
      </c>
      <c r="U490" s="101">
        <f t="shared" si="124"/>
        <v>0</v>
      </c>
      <c r="V490" s="101">
        <f t="shared" si="124"/>
        <v>0</v>
      </c>
      <c r="W490" s="101">
        <f t="shared" si="124"/>
        <v>0</v>
      </c>
      <c r="X490" s="101">
        <f t="shared" si="124"/>
        <v>0</v>
      </c>
      <c r="Y490" s="101">
        <f t="shared" si="124"/>
        <v>0</v>
      </c>
      <c r="AQ490" s="3"/>
    </row>
    <row r="491" spans="5:43" x14ac:dyDescent="0.35">
      <c r="E491" s="352"/>
      <c r="F491" s="2" t="s">
        <v>986</v>
      </c>
      <c r="G491" t="s">
        <v>207</v>
      </c>
      <c r="J491" s="101">
        <f t="shared" ref="J491:Y491" si="125">J470</f>
        <v>0</v>
      </c>
      <c r="K491" s="101">
        <f t="shared" si="125"/>
        <v>0</v>
      </c>
      <c r="L491" s="101">
        <f t="shared" si="125"/>
        <v>317220.11282663571</v>
      </c>
      <c r="M491" s="101">
        <f t="shared" si="125"/>
        <v>0</v>
      </c>
      <c r="N491" s="101">
        <f t="shared" si="125"/>
        <v>305257.6236596423</v>
      </c>
      <c r="O491" s="101">
        <f t="shared" si="125"/>
        <v>42945.256173017624</v>
      </c>
      <c r="P491" s="101">
        <f t="shared" si="125"/>
        <v>158529.39533256378</v>
      </c>
      <c r="Q491" s="101">
        <f t="shared" si="125"/>
        <v>0</v>
      </c>
      <c r="R491" s="101">
        <f t="shared" si="125"/>
        <v>0</v>
      </c>
      <c r="S491" s="101">
        <f t="shared" si="125"/>
        <v>0</v>
      </c>
      <c r="T491" s="101">
        <f t="shared" si="125"/>
        <v>0</v>
      </c>
      <c r="U491" s="101">
        <f t="shared" si="125"/>
        <v>0</v>
      </c>
      <c r="V491" s="101">
        <f t="shared" si="125"/>
        <v>0</v>
      </c>
      <c r="W491" s="101">
        <f t="shared" si="125"/>
        <v>0</v>
      </c>
      <c r="X491" s="101">
        <f t="shared" si="125"/>
        <v>0</v>
      </c>
      <c r="Y491" s="101">
        <f t="shared" si="125"/>
        <v>0</v>
      </c>
      <c r="AQ491" s="3"/>
    </row>
    <row r="492" spans="5:43" x14ac:dyDescent="0.35">
      <c r="E492" s="72" t="s">
        <v>249</v>
      </c>
      <c r="F492" s="2"/>
      <c r="J492" s="26"/>
      <c r="K492" s="26"/>
      <c r="L492" s="26"/>
      <c r="M492" s="26"/>
      <c r="N492" s="26"/>
      <c r="O492" s="26"/>
      <c r="P492" s="26"/>
      <c r="Q492" s="26"/>
      <c r="R492" s="26"/>
      <c r="S492" s="26"/>
      <c r="T492" s="26"/>
      <c r="U492" s="26"/>
      <c r="V492" s="26"/>
      <c r="W492" s="26"/>
      <c r="X492" s="26"/>
      <c r="Y492" s="26"/>
      <c r="AQ492" s="3"/>
    </row>
    <row r="493" spans="5:43" x14ac:dyDescent="0.35">
      <c r="E493" s="352"/>
      <c r="F493" s="2" t="s">
        <v>983</v>
      </c>
      <c r="G493" t="s">
        <v>207</v>
      </c>
      <c r="J493" s="131">
        <f t="shared" ref="J493:Y493" si="126">J355</f>
        <v>0</v>
      </c>
      <c r="K493" s="131">
        <f t="shared" si="126"/>
        <v>211336.36964169086</v>
      </c>
      <c r="L493" s="131">
        <f t="shared" si="126"/>
        <v>0</v>
      </c>
      <c r="M493" s="131">
        <f t="shared" si="126"/>
        <v>14290.612390057293</v>
      </c>
      <c r="N493" s="131">
        <f t="shared" si="126"/>
        <v>0</v>
      </c>
      <c r="O493" s="131">
        <f t="shared" si="126"/>
        <v>0</v>
      </c>
      <c r="P493" s="131">
        <f t="shared" si="126"/>
        <v>0</v>
      </c>
      <c r="Q493" s="131">
        <f t="shared" si="126"/>
        <v>0</v>
      </c>
      <c r="R493" s="131">
        <f t="shared" si="126"/>
        <v>2112.3642325825435</v>
      </c>
      <c r="S493" s="131">
        <f t="shared" si="126"/>
        <v>0.64400000000000013</v>
      </c>
      <c r="T493" s="131">
        <f t="shared" si="126"/>
        <v>193113.18812858776</v>
      </c>
      <c r="U493" s="131">
        <f t="shared" si="126"/>
        <v>0</v>
      </c>
      <c r="V493" s="131">
        <f t="shared" si="126"/>
        <v>1570.8366193548386</v>
      </c>
      <c r="W493" s="131">
        <f t="shared" si="126"/>
        <v>0</v>
      </c>
      <c r="X493" s="131">
        <f t="shared" si="126"/>
        <v>746890.70756556396</v>
      </c>
      <c r="Y493" s="131">
        <f t="shared" si="126"/>
        <v>0</v>
      </c>
      <c r="AQ493" s="3"/>
    </row>
    <row r="494" spans="5:43" x14ac:dyDescent="0.35">
      <c r="E494" s="352"/>
      <c r="F494" s="2" t="s">
        <v>984</v>
      </c>
      <c r="G494" t="s">
        <v>207</v>
      </c>
      <c r="J494" s="364">
        <f t="shared" ref="J494:Y494" si="127">J384</f>
        <v>1018610.3392766328</v>
      </c>
      <c r="K494" s="364">
        <f t="shared" si="127"/>
        <v>0</v>
      </c>
      <c r="L494" s="364">
        <f t="shared" si="127"/>
        <v>12011.385288017098</v>
      </c>
      <c r="M494" s="364">
        <f t="shared" si="127"/>
        <v>0</v>
      </c>
      <c r="N494" s="364">
        <f t="shared" si="127"/>
        <v>115268.67214816219</v>
      </c>
      <c r="O494" s="364">
        <f t="shared" si="127"/>
        <v>2954.5198116392717</v>
      </c>
      <c r="P494" s="364">
        <f t="shared" si="127"/>
        <v>31488.690610051406</v>
      </c>
      <c r="Q494" s="364">
        <f t="shared" si="127"/>
        <v>60946.957515069895</v>
      </c>
      <c r="R494" s="364">
        <f t="shared" si="127"/>
        <v>0</v>
      </c>
      <c r="S494" s="364">
        <f t="shared" si="127"/>
        <v>0</v>
      </c>
      <c r="T494" s="364">
        <f t="shared" si="127"/>
        <v>0</v>
      </c>
      <c r="U494" s="364">
        <f t="shared" si="127"/>
        <v>0</v>
      </c>
      <c r="V494" s="364">
        <f t="shared" si="127"/>
        <v>0</v>
      </c>
      <c r="W494" s="364">
        <f t="shared" si="127"/>
        <v>0</v>
      </c>
      <c r="X494" s="364">
        <f t="shared" si="127"/>
        <v>0</v>
      </c>
      <c r="Y494" s="364">
        <f t="shared" si="127"/>
        <v>0</v>
      </c>
      <c r="AQ494" s="3"/>
    </row>
    <row r="495" spans="5:43" x14ac:dyDescent="0.35">
      <c r="E495" s="352"/>
      <c r="F495" s="2" t="s">
        <v>985</v>
      </c>
      <c r="G495" t="s">
        <v>207</v>
      </c>
      <c r="J495" s="364">
        <f t="shared" ref="J495:Y495" si="128">J413</f>
        <v>0</v>
      </c>
      <c r="K495" s="364">
        <f t="shared" si="128"/>
        <v>0</v>
      </c>
      <c r="L495" s="364">
        <f t="shared" si="128"/>
        <v>57657.023222858697</v>
      </c>
      <c r="M495" s="364">
        <f t="shared" si="128"/>
        <v>0</v>
      </c>
      <c r="N495" s="364">
        <f t="shared" si="128"/>
        <v>118422.54378127572</v>
      </c>
      <c r="O495" s="364">
        <f t="shared" si="128"/>
        <v>1812.1816831853994</v>
      </c>
      <c r="P495" s="364">
        <f t="shared" si="128"/>
        <v>87556.064663326979</v>
      </c>
      <c r="Q495" s="364">
        <f t="shared" si="128"/>
        <v>0</v>
      </c>
      <c r="R495" s="364">
        <f t="shared" si="128"/>
        <v>0</v>
      </c>
      <c r="S495" s="364">
        <f t="shared" si="128"/>
        <v>0</v>
      </c>
      <c r="T495" s="364">
        <f t="shared" si="128"/>
        <v>0</v>
      </c>
      <c r="U495" s="364">
        <f t="shared" si="128"/>
        <v>0</v>
      </c>
      <c r="V495" s="364">
        <f t="shared" si="128"/>
        <v>0</v>
      </c>
      <c r="W495" s="364">
        <f t="shared" si="128"/>
        <v>0</v>
      </c>
      <c r="X495" s="364">
        <f t="shared" si="128"/>
        <v>0</v>
      </c>
      <c r="Y495" s="364">
        <f t="shared" si="128"/>
        <v>0</v>
      </c>
      <c r="AQ495" s="3"/>
    </row>
    <row r="496" spans="5:43" x14ac:dyDescent="0.35">
      <c r="E496" s="352"/>
      <c r="F496" s="2" t="s">
        <v>987</v>
      </c>
      <c r="G496" t="s">
        <v>207</v>
      </c>
      <c r="J496" s="101">
        <f t="shared" ref="J496:Y496" si="129">J442</f>
        <v>0</v>
      </c>
      <c r="K496" s="101">
        <f t="shared" si="129"/>
        <v>0</v>
      </c>
      <c r="L496" s="101">
        <f t="shared" si="129"/>
        <v>80334.978328362035</v>
      </c>
      <c r="M496" s="101">
        <f t="shared" si="129"/>
        <v>0</v>
      </c>
      <c r="N496" s="101">
        <f t="shared" si="129"/>
        <v>89540.552424913301</v>
      </c>
      <c r="O496" s="101">
        <f t="shared" si="129"/>
        <v>5368.8286556979356</v>
      </c>
      <c r="P496" s="101">
        <f t="shared" si="129"/>
        <v>73308.061168683402</v>
      </c>
      <c r="Q496" s="101">
        <f t="shared" si="129"/>
        <v>0</v>
      </c>
      <c r="R496" s="101">
        <f t="shared" si="129"/>
        <v>0</v>
      </c>
      <c r="S496" s="101">
        <f t="shared" si="129"/>
        <v>0</v>
      </c>
      <c r="T496" s="101">
        <f t="shared" si="129"/>
        <v>0</v>
      </c>
      <c r="U496" s="101">
        <f t="shared" si="129"/>
        <v>0</v>
      </c>
      <c r="V496" s="101">
        <f t="shared" si="129"/>
        <v>0</v>
      </c>
      <c r="W496" s="101">
        <f t="shared" si="129"/>
        <v>0</v>
      </c>
      <c r="X496" s="101">
        <f t="shared" si="129"/>
        <v>0</v>
      </c>
      <c r="Y496" s="101">
        <f t="shared" si="129"/>
        <v>0</v>
      </c>
      <c r="AQ496" s="3"/>
    </row>
    <row r="497" spans="5:43" x14ac:dyDescent="0.35">
      <c r="E497" s="352"/>
      <c r="F497" s="2" t="s">
        <v>986</v>
      </c>
      <c r="G497" t="s">
        <v>207</v>
      </c>
      <c r="J497" s="101">
        <f t="shared" ref="J497:Y497" si="130">J471</f>
        <v>0</v>
      </c>
      <c r="K497" s="101">
        <f t="shared" si="130"/>
        <v>0</v>
      </c>
      <c r="L497" s="101">
        <f t="shared" si="130"/>
        <v>212606.93273914693</v>
      </c>
      <c r="M497" s="101">
        <f t="shared" si="130"/>
        <v>0</v>
      </c>
      <c r="N497" s="101">
        <f t="shared" si="130"/>
        <v>243723.13078113797</v>
      </c>
      <c r="O497" s="101">
        <f t="shared" si="130"/>
        <v>41931.18068679946</v>
      </c>
      <c r="P497" s="101">
        <f t="shared" si="130"/>
        <v>147112.99843613809</v>
      </c>
      <c r="Q497" s="101">
        <f t="shared" si="130"/>
        <v>0</v>
      </c>
      <c r="R497" s="101">
        <f t="shared" si="130"/>
        <v>0</v>
      </c>
      <c r="S497" s="101">
        <f t="shared" si="130"/>
        <v>0</v>
      </c>
      <c r="T497" s="101">
        <f t="shared" si="130"/>
        <v>0</v>
      </c>
      <c r="U497" s="101">
        <f t="shared" si="130"/>
        <v>0</v>
      </c>
      <c r="V497" s="101">
        <f t="shared" si="130"/>
        <v>0</v>
      </c>
      <c r="W497" s="101">
        <f t="shared" si="130"/>
        <v>0</v>
      </c>
      <c r="X497" s="101">
        <f t="shared" si="130"/>
        <v>0</v>
      </c>
      <c r="Y497" s="101">
        <f t="shared" si="130"/>
        <v>0</v>
      </c>
      <c r="AQ497" s="3"/>
    </row>
    <row r="498" spans="5:43" x14ac:dyDescent="0.35">
      <c r="E498" s="72" t="s">
        <v>212</v>
      </c>
      <c r="F498" s="2"/>
      <c r="J498" s="26"/>
      <c r="K498" s="26"/>
      <c r="L498" s="26"/>
      <c r="M498" s="26"/>
      <c r="N498" s="26"/>
      <c r="O498" s="26"/>
      <c r="P498" s="26"/>
      <c r="Q498" s="26"/>
      <c r="R498" s="26"/>
      <c r="S498" s="26"/>
      <c r="T498" s="26"/>
      <c r="U498" s="26"/>
      <c r="V498" s="26"/>
      <c r="W498" s="26"/>
      <c r="X498" s="26"/>
      <c r="Y498" s="26"/>
      <c r="AQ498" s="3"/>
    </row>
    <row r="499" spans="5:43" x14ac:dyDescent="0.35">
      <c r="E499" s="352"/>
      <c r="F499" s="2" t="s">
        <v>983</v>
      </c>
      <c r="G499" t="s">
        <v>212</v>
      </c>
      <c r="J499" s="131">
        <f t="shared" ref="J499:Y499" si="131">J356</f>
        <v>0</v>
      </c>
      <c r="K499" s="131">
        <f t="shared" si="131"/>
        <v>72371.122331145176</v>
      </c>
      <c r="L499" s="131">
        <f t="shared" si="131"/>
        <v>0</v>
      </c>
      <c r="M499" s="131">
        <f t="shared" si="131"/>
        <v>2436.905804440873</v>
      </c>
      <c r="N499" s="131">
        <f t="shared" si="131"/>
        <v>0</v>
      </c>
      <c r="O499" s="131">
        <f t="shared" si="131"/>
        <v>0</v>
      </c>
      <c r="P499" s="131">
        <f t="shared" si="131"/>
        <v>0</v>
      </c>
      <c r="Q499" s="131">
        <f t="shared" si="131"/>
        <v>0</v>
      </c>
      <c r="R499" s="131">
        <f t="shared" si="131"/>
        <v>376.80645161290334</v>
      </c>
      <c r="S499" s="131">
        <f t="shared" si="131"/>
        <v>1</v>
      </c>
      <c r="T499" s="131">
        <f t="shared" si="131"/>
        <v>812.9295222209638</v>
      </c>
      <c r="U499" s="131">
        <f t="shared" si="131"/>
        <v>0</v>
      </c>
      <c r="V499" s="131">
        <f t="shared" si="131"/>
        <v>2</v>
      </c>
      <c r="W499" s="131">
        <f t="shared" si="131"/>
        <v>0</v>
      </c>
      <c r="X499" s="131">
        <f t="shared" si="131"/>
        <v>348.45161290322585</v>
      </c>
      <c r="Y499" s="131">
        <f t="shared" si="131"/>
        <v>0</v>
      </c>
      <c r="AQ499" s="3"/>
    </row>
    <row r="500" spans="5:43" x14ac:dyDescent="0.35">
      <c r="E500" s="352"/>
      <c r="F500" s="2" t="s">
        <v>984</v>
      </c>
      <c r="G500" t="s">
        <v>212</v>
      </c>
      <c r="J500" s="364">
        <f t="shared" ref="J500:Y500" si="132">J385</f>
        <v>712324.84882153419</v>
      </c>
      <c r="K500" s="364">
        <f t="shared" si="132"/>
        <v>0</v>
      </c>
      <c r="L500" s="364">
        <f t="shared" si="132"/>
        <v>28329.108328901191</v>
      </c>
      <c r="M500" s="364">
        <f t="shared" si="132"/>
        <v>0</v>
      </c>
      <c r="N500" s="364">
        <f t="shared" si="132"/>
        <v>3245.1797450643903</v>
      </c>
      <c r="O500" s="364">
        <f t="shared" si="132"/>
        <v>9.9463413549057211</v>
      </c>
      <c r="P500" s="364">
        <f t="shared" si="132"/>
        <v>429.93232794509885</v>
      </c>
      <c r="Q500" s="364">
        <f t="shared" si="132"/>
        <v>1889.7423367815629</v>
      </c>
      <c r="R500" s="364">
        <f t="shared" si="132"/>
        <v>0</v>
      </c>
      <c r="S500" s="364">
        <f t="shared" si="132"/>
        <v>0</v>
      </c>
      <c r="T500" s="364">
        <f t="shared" si="132"/>
        <v>0</v>
      </c>
      <c r="U500" s="364">
        <f t="shared" si="132"/>
        <v>0</v>
      </c>
      <c r="V500" s="364">
        <f t="shared" si="132"/>
        <v>0</v>
      </c>
      <c r="W500" s="364">
        <f t="shared" si="132"/>
        <v>0</v>
      </c>
      <c r="X500" s="364">
        <f t="shared" si="132"/>
        <v>0</v>
      </c>
      <c r="Y500" s="364">
        <f t="shared" si="132"/>
        <v>0</v>
      </c>
      <c r="AQ500" s="3"/>
    </row>
    <row r="501" spans="5:43" x14ac:dyDescent="0.35">
      <c r="E501" s="352"/>
      <c r="F501" s="2" t="s">
        <v>985</v>
      </c>
      <c r="G501" t="s">
        <v>212</v>
      </c>
      <c r="J501" s="364">
        <f t="shared" ref="J501:Y501" si="133">J414</f>
        <v>0</v>
      </c>
      <c r="K501" s="364">
        <f t="shared" si="133"/>
        <v>0</v>
      </c>
      <c r="L501" s="364">
        <f t="shared" si="133"/>
        <v>22980.280138707854</v>
      </c>
      <c r="M501" s="364">
        <f t="shared" si="133"/>
        <v>0</v>
      </c>
      <c r="N501" s="364">
        <f t="shared" si="133"/>
        <v>1746.676460321436</v>
      </c>
      <c r="O501" s="364">
        <f t="shared" si="133"/>
        <v>13.261788473207631</v>
      </c>
      <c r="P501" s="364">
        <f t="shared" si="133"/>
        <v>153.6209037501672</v>
      </c>
      <c r="Q501" s="364">
        <f t="shared" si="133"/>
        <v>0</v>
      </c>
      <c r="R501" s="364">
        <f t="shared" si="133"/>
        <v>0</v>
      </c>
      <c r="S501" s="364">
        <f t="shared" si="133"/>
        <v>0</v>
      </c>
      <c r="T501" s="364">
        <f t="shared" si="133"/>
        <v>0</v>
      </c>
      <c r="U501" s="364">
        <f t="shared" si="133"/>
        <v>0</v>
      </c>
      <c r="V501" s="364">
        <f t="shared" si="133"/>
        <v>0</v>
      </c>
      <c r="W501" s="364">
        <f t="shared" si="133"/>
        <v>0</v>
      </c>
      <c r="X501" s="364">
        <f t="shared" si="133"/>
        <v>0</v>
      </c>
      <c r="Y501" s="364">
        <f t="shared" si="133"/>
        <v>0</v>
      </c>
      <c r="AQ501" s="3"/>
    </row>
    <row r="502" spans="5:43" x14ac:dyDescent="0.35">
      <c r="E502" s="352"/>
      <c r="F502" s="2" t="s">
        <v>987</v>
      </c>
      <c r="G502" t="s">
        <v>212</v>
      </c>
      <c r="J502" s="101">
        <f t="shared" ref="J502:Y502" si="134">J443</f>
        <v>0</v>
      </c>
      <c r="K502" s="101">
        <f t="shared" si="134"/>
        <v>0</v>
      </c>
      <c r="L502" s="101">
        <f t="shared" si="134"/>
        <v>12975.537490776003</v>
      </c>
      <c r="M502" s="101">
        <f t="shared" si="134"/>
        <v>0</v>
      </c>
      <c r="N502" s="101">
        <f t="shared" si="134"/>
        <v>803.40807687271354</v>
      </c>
      <c r="O502" s="101">
        <f t="shared" si="134"/>
        <v>26.523576946415261</v>
      </c>
      <c r="P502" s="101">
        <f t="shared" si="134"/>
        <v>59.798741057112068</v>
      </c>
      <c r="Q502" s="101">
        <f t="shared" si="134"/>
        <v>0</v>
      </c>
      <c r="R502" s="101">
        <f t="shared" si="134"/>
        <v>0</v>
      </c>
      <c r="S502" s="101">
        <f t="shared" si="134"/>
        <v>0</v>
      </c>
      <c r="T502" s="101">
        <f t="shared" si="134"/>
        <v>0</v>
      </c>
      <c r="U502" s="101">
        <f t="shared" si="134"/>
        <v>0</v>
      </c>
      <c r="V502" s="101">
        <f t="shared" si="134"/>
        <v>0</v>
      </c>
      <c r="W502" s="101">
        <f t="shared" si="134"/>
        <v>0</v>
      </c>
      <c r="X502" s="101">
        <f t="shared" si="134"/>
        <v>0</v>
      </c>
      <c r="Y502" s="101">
        <f t="shared" si="134"/>
        <v>0</v>
      </c>
      <c r="AQ502" s="3"/>
    </row>
    <row r="503" spans="5:43" x14ac:dyDescent="0.35">
      <c r="E503" s="352"/>
      <c r="F503" s="2" t="s">
        <v>986</v>
      </c>
      <c r="G503" t="s">
        <v>212</v>
      </c>
      <c r="J503" s="101">
        <f t="shared" ref="J503:Y503" si="135">J472</f>
        <v>0</v>
      </c>
      <c r="K503" s="101">
        <f t="shared" si="135"/>
        <v>0</v>
      </c>
      <c r="L503" s="101">
        <f t="shared" si="135"/>
        <v>10495.022784677198</v>
      </c>
      <c r="M503" s="101">
        <f t="shared" si="135"/>
        <v>0</v>
      </c>
      <c r="N503" s="101">
        <f t="shared" si="135"/>
        <v>986.38321479922172</v>
      </c>
      <c r="O503" s="101">
        <f t="shared" si="135"/>
        <v>71.834687563207993</v>
      </c>
      <c r="P503" s="101">
        <f t="shared" si="135"/>
        <v>54.643677172878263</v>
      </c>
      <c r="Q503" s="101">
        <f t="shared" si="135"/>
        <v>0</v>
      </c>
      <c r="R503" s="101">
        <f t="shared" si="135"/>
        <v>0</v>
      </c>
      <c r="S503" s="101">
        <f t="shared" si="135"/>
        <v>0</v>
      </c>
      <c r="T503" s="101">
        <f t="shared" si="135"/>
        <v>0</v>
      </c>
      <c r="U503" s="101">
        <f t="shared" si="135"/>
        <v>0</v>
      </c>
      <c r="V503" s="101">
        <f t="shared" si="135"/>
        <v>0</v>
      </c>
      <c r="W503" s="101">
        <f t="shared" si="135"/>
        <v>0</v>
      </c>
      <c r="X503" s="101">
        <f t="shared" si="135"/>
        <v>0</v>
      </c>
      <c r="Y503" s="101">
        <f t="shared" si="135"/>
        <v>0</v>
      </c>
      <c r="AQ503" s="3"/>
    </row>
    <row r="504" spans="5:43" x14ac:dyDescent="0.35">
      <c r="E504" s="72" t="s">
        <v>250</v>
      </c>
      <c r="F504" s="2"/>
      <c r="J504" s="26"/>
      <c r="K504" s="26"/>
      <c r="L504" s="26"/>
      <c r="M504" s="26"/>
      <c r="N504" s="26"/>
      <c r="O504" s="26"/>
      <c r="P504" s="26"/>
      <c r="Q504" s="26"/>
      <c r="R504" s="26"/>
      <c r="S504" s="26"/>
      <c r="T504" s="26"/>
      <c r="U504" s="26"/>
      <c r="V504" s="26"/>
      <c r="W504" s="26"/>
      <c r="X504" s="26"/>
      <c r="Y504" s="26"/>
      <c r="AQ504" s="3"/>
    </row>
    <row r="505" spans="5:43" x14ac:dyDescent="0.35">
      <c r="E505" s="352"/>
      <c r="F505" s="2" t="s">
        <v>983</v>
      </c>
      <c r="G505" t="s">
        <v>251</v>
      </c>
      <c r="J505" s="131">
        <f t="shared" ref="J505:Y505" si="136">J357</f>
        <v>0</v>
      </c>
      <c r="K505" s="131">
        <f t="shared" si="136"/>
        <v>0</v>
      </c>
      <c r="L505" s="131">
        <f t="shared" si="136"/>
        <v>0</v>
      </c>
      <c r="M505" s="131">
        <f t="shared" si="136"/>
        <v>0</v>
      </c>
      <c r="N505" s="131">
        <f t="shared" si="136"/>
        <v>0</v>
      </c>
      <c r="O505" s="131">
        <f t="shared" si="136"/>
        <v>0</v>
      </c>
      <c r="P505" s="131">
        <f t="shared" si="136"/>
        <v>0</v>
      </c>
      <c r="Q505" s="131">
        <f t="shared" si="136"/>
        <v>0</v>
      </c>
      <c r="R505" s="131">
        <f t="shared" si="136"/>
        <v>0</v>
      </c>
      <c r="S505" s="131">
        <f t="shared" si="136"/>
        <v>0</v>
      </c>
      <c r="T505" s="131">
        <f t="shared" si="136"/>
        <v>0</v>
      </c>
      <c r="U505" s="131">
        <f t="shared" si="136"/>
        <v>0</v>
      </c>
      <c r="V505" s="131">
        <f t="shared" si="136"/>
        <v>0</v>
      </c>
      <c r="W505" s="131">
        <f t="shared" si="136"/>
        <v>0</v>
      </c>
      <c r="X505" s="131">
        <f t="shared" si="136"/>
        <v>0</v>
      </c>
      <c r="Y505" s="131">
        <f t="shared" si="136"/>
        <v>0</v>
      </c>
      <c r="AQ505" s="3"/>
    </row>
    <row r="506" spans="5:43" x14ac:dyDescent="0.35">
      <c r="E506" s="352"/>
      <c r="F506" s="2" t="s">
        <v>984</v>
      </c>
      <c r="G506" t="s">
        <v>251</v>
      </c>
      <c r="J506" s="364">
        <f t="shared" ref="J506:Y506" si="137">J386</f>
        <v>0</v>
      </c>
      <c r="K506" s="364">
        <f t="shared" si="137"/>
        <v>0</v>
      </c>
      <c r="L506" s="364">
        <f t="shared" si="137"/>
        <v>0</v>
      </c>
      <c r="M506" s="364">
        <f t="shared" si="137"/>
        <v>0</v>
      </c>
      <c r="N506" s="364">
        <f t="shared" si="137"/>
        <v>179552.46184599484</v>
      </c>
      <c r="O506" s="364">
        <f t="shared" si="137"/>
        <v>2496.06709449353</v>
      </c>
      <c r="P506" s="364">
        <f t="shared" si="137"/>
        <v>37661.775053581994</v>
      </c>
      <c r="Q506" s="364">
        <f t="shared" si="137"/>
        <v>0</v>
      </c>
      <c r="R506" s="364">
        <f t="shared" si="137"/>
        <v>0</v>
      </c>
      <c r="S506" s="364">
        <f t="shared" si="137"/>
        <v>0</v>
      </c>
      <c r="T506" s="364">
        <f t="shared" si="137"/>
        <v>0</v>
      </c>
      <c r="U506" s="364">
        <f t="shared" si="137"/>
        <v>0</v>
      </c>
      <c r="V506" s="364">
        <f t="shared" si="137"/>
        <v>0</v>
      </c>
      <c r="W506" s="364">
        <f t="shared" si="137"/>
        <v>0</v>
      </c>
      <c r="X506" s="364">
        <f t="shared" si="137"/>
        <v>0</v>
      </c>
      <c r="Y506" s="364">
        <f t="shared" si="137"/>
        <v>0</v>
      </c>
      <c r="AQ506" s="3"/>
    </row>
    <row r="507" spans="5:43" x14ac:dyDescent="0.35">
      <c r="E507" s="352"/>
      <c r="F507" s="2" t="s">
        <v>985</v>
      </c>
      <c r="G507" t="s">
        <v>251</v>
      </c>
      <c r="J507" s="364">
        <f t="shared" ref="J507:Y507" si="138">J415</f>
        <v>0</v>
      </c>
      <c r="K507" s="364">
        <f t="shared" si="138"/>
        <v>0</v>
      </c>
      <c r="L507" s="364">
        <f t="shared" si="138"/>
        <v>0</v>
      </c>
      <c r="M507" s="364">
        <f t="shared" si="138"/>
        <v>0</v>
      </c>
      <c r="N507" s="364">
        <f t="shared" si="138"/>
        <v>184465.20531322155</v>
      </c>
      <c r="O507" s="364">
        <f t="shared" si="138"/>
        <v>1530.9855262514805</v>
      </c>
      <c r="P507" s="364">
        <f t="shared" si="138"/>
        <v>104720.6710740303</v>
      </c>
      <c r="Q507" s="364">
        <f t="shared" si="138"/>
        <v>0</v>
      </c>
      <c r="R507" s="364">
        <f t="shared" si="138"/>
        <v>0</v>
      </c>
      <c r="S507" s="364">
        <f t="shared" si="138"/>
        <v>0</v>
      </c>
      <c r="T507" s="364">
        <f t="shared" si="138"/>
        <v>0</v>
      </c>
      <c r="U507" s="364">
        <f t="shared" si="138"/>
        <v>0</v>
      </c>
      <c r="V507" s="364">
        <f t="shared" si="138"/>
        <v>0</v>
      </c>
      <c r="W507" s="364">
        <f t="shared" si="138"/>
        <v>0</v>
      </c>
      <c r="X507" s="364">
        <f t="shared" si="138"/>
        <v>0</v>
      </c>
      <c r="Y507" s="364">
        <f t="shared" si="138"/>
        <v>0</v>
      </c>
      <c r="AQ507" s="3"/>
    </row>
    <row r="508" spans="5:43" x14ac:dyDescent="0.35">
      <c r="E508" s="352"/>
      <c r="F508" s="2" t="s">
        <v>987</v>
      </c>
      <c r="G508" t="s">
        <v>251</v>
      </c>
      <c r="J508" s="101">
        <f t="shared" ref="J508:Y508" si="139">J444</f>
        <v>0</v>
      </c>
      <c r="K508" s="101">
        <f t="shared" si="139"/>
        <v>0</v>
      </c>
      <c r="L508" s="101">
        <f t="shared" si="139"/>
        <v>0</v>
      </c>
      <c r="M508" s="101">
        <f t="shared" si="139"/>
        <v>0</v>
      </c>
      <c r="N508" s="101">
        <f t="shared" si="139"/>
        <v>139476.11543818653</v>
      </c>
      <c r="O508" s="101">
        <f t="shared" si="139"/>
        <v>4535.7477349343717</v>
      </c>
      <c r="P508" s="101">
        <f t="shared" si="139"/>
        <v>87679.470179934404</v>
      </c>
      <c r="Q508" s="101">
        <f t="shared" si="139"/>
        <v>0</v>
      </c>
      <c r="R508" s="101">
        <f t="shared" si="139"/>
        <v>0</v>
      </c>
      <c r="S508" s="101">
        <f t="shared" si="139"/>
        <v>0</v>
      </c>
      <c r="T508" s="101">
        <f t="shared" si="139"/>
        <v>0</v>
      </c>
      <c r="U508" s="101">
        <f t="shared" si="139"/>
        <v>0</v>
      </c>
      <c r="V508" s="101">
        <f t="shared" si="139"/>
        <v>0</v>
      </c>
      <c r="W508" s="101">
        <f t="shared" si="139"/>
        <v>0</v>
      </c>
      <c r="X508" s="101">
        <f t="shared" si="139"/>
        <v>0</v>
      </c>
      <c r="Y508" s="101">
        <f t="shared" si="139"/>
        <v>0</v>
      </c>
      <c r="AQ508" s="3"/>
    </row>
    <row r="509" spans="5:43" x14ac:dyDescent="0.35">
      <c r="E509" s="352"/>
      <c r="F509" s="2" t="s">
        <v>986</v>
      </c>
      <c r="G509" t="s">
        <v>251</v>
      </c>
      <c r="J509" s="101">
        <f>J473</f>
        <v>0</v>
      </c>
      <c r="K509" s="101">
        <f t="shared" ref="K509:Y509" si="140">K473</f>
        <v>0</v>
      </c>
      <c r="L509" s="101">
        <f t="shared" si="140"/>
        <v>0</v>
      </c>
      <c r="M509" s="101">
        <f t="shared" si="140"/>
        <v>0</v>
      </c>
      <c r="N509" s="101">
        <f t="shared" si="140"/>
        <v>379644.24613409064</v>
      </c>
      <c r="O509" s="101">
        <f t="shared" si="140"/>
        <v>35424.721111452629</v>
      </c>
      <c r="P509" s="101">
        <f t="shared" si="140"/>
        <v>175953.22470446629</v>
      </c>
      <c r="Q509" s="101">
        <f t="shared" si="140"/>
        <v>0</v>
      </c>
      <c r="R509" s="101">
        <f t="shared" si="140"/>
        <v>0</v>
      </c>
      <c r="S509" s="101">
        <f t="shared" si="140"/>
        <v>0</v>
      </c>
      <c r="T509" s="101">
        <f t="shared" si="140"/>
        <v>0</v>
      </c>
      <c r="U509" s="101">
        <f t="shared" si="140"/>
        <v>0</v>
      </c>
      <c r="V509" s="101">
        <f t="shared" si="140"/>
        <v>0</v>
      </c>
      <c r="W509" s="101">
        <f t="shared" si="140"/>
        <v>0</v>
      </c>
      <c r="X509" s="101">
        <f t="shared" si="140"/>
        <v>0</v>
      </c>
      <c r="Y509" s="101">
        <f t="shared" si="140"/>
        <v>0</v>
      </c>
      <c r="AQ509" s="3"/>
    </row>
    <row r="510" spans="5:43" x14ac:dyDescent="0.35">
      <c r="E510" s="72" t="s">
        <v>252</v>
      </c>
      <c r="F510" s="2"/>
      <c r="J510" s="26"/>
      <c r="K510" s="26"/>
      <c r="L510" s="26"/>
      <c r="M510" s="26"/>
      <c r="N510" s="26"/>
      <c r="O510" s="26"/>
      <c r="P510" s="26"/>
      <c r="Q510" s="26"/>
      <c r="R510" s="26"/>
      <c r="S510" s="26"/>
      <c r="T510" s="26"/>
      <c r="U510" s="26"/>
      <c r="V510" s="26"/>
      <c r="W510" s="26"/>
      <c r="X510" s="26"/>
      <c r="Y510" s="26"/>
      <c r="AQ510" s="3"/>
    </row>
    <row r="511" spans="5:43" x14ac:dyDescent="0.35">
      <c r="E511" s="352"/>
      <c r="F511" s="2" t="s">
        <v>983</v>
      </c>
      <c r="G511" t="s">
        <v>251</v>
      </c>
      <c r="J511" s="131">
        <f t="shared" ref="J511:Y511" si="141">J358</f>
        <v>0</v>
      </c>
      <c r="K511" s="131">
        <f t="shared" si="141"/>
        <v>0</v>
      </c>
      <c r="L511" s="131">
        <f t="shared" si="141"/>
        <v>0</v>
      </c>
      <c r="M511" s="131">
        <f t="shared" si="141"/>
        <v>0</v>
      </c>
      <c r="N511" s="131">
        <f t="shared" si="141"/>
        <v>0</v>
      </c>
      <c r="O511" s="131">
        <f t="shared" si="141"/>
        <v>0</v>
      </c>
      <c r="P511" s="131">
        <f t="shared" si="141"/>
        <v>0</v>
      </c>
      <c r="Q511" s="131">
        <f t="shared" si="141"/>
        <v>0</v>
      </c>
      <c r="R511" s="131">
        <f t="shared" si="141"/>
        <v>0</v>
      </c>
      <c r="S511" s="131">
        <f t="shared" si="141"/>
        <v>0</v>
      </c>
      <c r="T511" s="131">
        <f t="shared" si="141"/>
        <v>0</v>
      </c>
      <c r="U511" s="131">
        <f t="shared" si="141"/>
        <v>0</v>
      </c>
      <c r="V511" s="131">
        <f t="shared" si="141"/>
        <v>0</v>
      </c>
      <c r="W511" s="131">
        <f t="shared" si="141"/>
        <v>0</v>
      </c>
      <c r="X511" s="131">
        <f t="shared" si="141"/>
        <v>0</v>
      </c>
      <c r="Y511" s="131">
        <f t="shared" si="141"/>
        <v>0</v>
      </c>
      <c r="AQ511" s="3"/>
    </row>
    <row r="512" spans="5:43" x14ac:dyDescent="0.35">
      <c r="E512" s="352"/>
      <c r="F512" s="2" t="s">
        <v>984</v>
      </c>
      <c r="G512" t="s">
        <v>251</v>
      </c>
      <c r="J512" s="364">
        <f t="shared" ref="J512:Y512" si="142">J387</f>
        <v>0</v>
      </c>
      <c r="K512" s="364">
        <f t="shared" si="142"/>
        <v>0</v>
      </c>
      <c r="L512" s="364">
        <f t="shared" si="142"/>
        <v>0</v>
      </c>
      <c r="M512" s="364">
        <f t="shared" si="142"/>
        <v>0</v>
      </c>
      <c r="N512" s="364">
        <f t="shared" si="142"/>
        <v>3638.3527599389272</v>
      </c>
      <c r="O512" s="364">
        <f t="shared" si="142"/>
        <v>74.370999092084375</v>
      </c>
      <c r="P512" s="364">
        <f t="shared" si="142"/>
        <v>958.76253773084238</v>
      </c>
      <c r="Q512" s="364">
        <f t="shared" si="142"/>
        <v>0</v>
      </c>
      <c r="R512" s="364">
        <f t="shared" si="142"/>
        <v>0</v>
      </c>
      <c r="S512" s="364">
        <f t="shared" si="142"/>
        <v>0</v>
      </c>
      <c r="T512" s="364">
        <f t="shared" si="142"/>
        <v>0</v>
      </c>
      <c r="U512" s="364">
        <f t="shared" si="142"/>
        <v>0</v>
      </c>
      <c r="V512" s="364">
        <f t="shared" si="142"/>
        <v>0</v>
      </c>
      <c r="W512" s="364">
        <f t="shared" si="142"/>
        <v>0</v>
      </c>
      <c r="X512" s="364">
        <f t="shared" si="142"/>
        <v>0</v>
      </c>
      <c r="Y512" s="364">
        <f t="shared" si="142"/>
        <v>0</v>
      </c>
      <c r="AQ512" s="3"/>
    </row>
    <row r="513" spans="3:43" x14ac:dyDescent="0.35">
      <c r="E513" s="352"/>
      <c r="F513" s="2" t="s">
        <v>985</v>
      </c>
      <c r="G513" t="s">
        <v>251</v>
      </c>
      <c r="J513" s="364">
        <f t="shared" ref="J513:Y513" si="143">J416</f>
        <v>0</v>
      </c>
      <c r="K513" s="364">
        <f t="shared" si="143"/>
        <v>0</v>
      </c>
      <c r="L513" s="364">
        <f t="shared" si="143"/>
        <v>0</v>
      </c>
      <c r="M513" s="364">
        <f t="shared" si="143"/>
        <v>0</v>
      </c>
      <c r="N513" s="364">
        <f t="shared" si="143"/>
        <v>3737.9019032315841</v>
      </c>
      <c r="O513" s="364">
        <f t="shared" si="143"/>
        <v>45.616130846012524</v>
      </c>
      <c r="P513" s="364">
        <f t="shared" si="143"/>
        <v>2665.892837206166</v>
      </c>
      <c r="Q513" s="364">
        <f t="shared" si="143"/>
        <v>0</v>
      </c>
      <c r="R513" s="364">
        <f t="shared" si="143"/>
        <v>0</v>
      </c>
      <c r="S513" s="364">
        <f t="shared" si="143"/>
        <v>0</v>
      </c>
      <c r="T513" s="364">
        <f t="shared" si="143"/>
        <v>0</v>
      </c>
      <c r="U513" s="364">
        <f t="shared" si="143"/>
        <v>0</v>
      </c>
      <c r="V513" s="364">
        <f t="shared" si="143"/>
        <v>0</v>
      </c>
      <c r="W513" s="364">
        <f t="shared" si="143"/>
        <v>0</v>
      </c>
      <c r="X513" s="364">
        <f t="shared" si="143"/>
        <v>0</v>
      </c>
      <c r="Y513" s="364">
        <f t="shared" si="143"/>
        <v>0</v>
      </c>
      <c r="AQ513" s="3"/>
    </row>
    <row r="514" spans="3:43" x14ac:dyDescent="0.35">
      <c r="E514" s="352"/>
      <c r="F514" s="2" t="s">
        <v>987</v>
      </c>
      <c r="G514" t="s">
        <v>251</v>
      </c>
      <c r="J514" s="101">
        <f t="shared" ref="J514:Y514" si="144">J445</f>
        <v>0</v>
      </c>
      <c r="K514" s="101">
        <f t="shared" si="144"/>
        <v>0</v>
      </c>
      <c r="L514" s="101">
        <f t="shared" si="144"/>
        <v>0</v>
      </c>
      <c r="M514" s="101">
        <f t="shared" si="144"/>
        <v>0</v>
      </c>
      <c r="N514" s="101">
        <f t="shared" si="144"/>
        <v>2826.2676230267789</v>
      </c>
      <c r="O514" s="101">
        <f t="shared" si="144"/>
        <v>135.14383945082781</v>
      </c>
      <c r="P514" s="101">
        <f t="shared" si="144"/>
        <v>2232.0719407678152</v>
      </c>
      <c r="Q514" s="101">
        <f t="shared" si="144"/>
        <v>0</v>
      </c>
      <c r="R514" s="101">
        <f t="shared" si="144"/>
        <v>0</v>
      </c>
      <c r="S514" s="101">
        <f t="shared" si="144"/>
        <v>0</v>
      </c>
      <c r="T514" s="101">
        <f t="shared" si="144"/>
        <v>0</v>
      </c>
      <c r="U514" s="101">
        <f t="shared" si="144"/>
        <v>0</v>
      </c>
      <c r="V514" s="101">
        <f t="shared" si="144"/>
        <v>0</v>
      </c>
      <c r="W514" s="101">
        <f t="shared" si="144"/>
        <v>0</v>
      </c>
      <c r="X514" s="101">
        <f t="shared" si="144"/>
        <v>0</v>
      </c>
      <c r="Y514" s="101">
        <f t="shared" si="144"/>
        <v>0</v>
      </c>
      <c r="AQ514" s="3"/>
    </row>
    <row r="515" spans="3:43" x14ac:dyDescent="0.35">
      <c r="E515" s="352"/>
      <c r="F515" s="2" t="s">
        <v>986</v>
      </c>
      <c r="G515" t="s">
        <v>251</v>
      </c>
      <c r="J515" s="101">
        <f t="shared" ref="J515:Y515" si="145">J474</f>
        <v>0</v>
      </c>
      <c r="K515" s="101">
        <f t="shared" si="145"/>
        <v>0</v>
      </c>
      <c r="L515" s="101">
        <f t="shared" si="145"/>
        <v>0</v>
      </c>
      <c r="M515" s="101">
        <f t="shared" si="145"/>
        <v>0</v>
      </c>
      <c r="N515" s="101">
        <f t="shared" si="145"/>
        <v>7692.9031020563161</v>
      </c>
      <c r="O515" s="101">
        <f t="shared" si="145"/>
        <v>1055.489216387334</v>
      </c>
      <c r="P515" s="101">
        <f t="shared" si="145"/>
        <v>4479.2726842951743</v>
      </c>
      <c r="Q515" s="101">
        <f t="shared" si="145"/>
        <v>0</v>
      </c>
      <c r="R515" s="101">
        <f t="shared" si="145"/>
        <v>0</v>
      </c>
      <c r="S515" s="101">
        <f t="shared" si="145"/>
        <v>0</v>
      </c>
      <c r="T515" s="101">
        <f t="shared" si="145"/>
        <v>0</v>
      </c>
      <c r="U515" s="101">
        <f t="shared" si="145"/>
        <v>0</v>
      </c>
      <c r="V515" s="101">
        <f t="shared" si="145"/>
        <v>0</v>
      </c>
      <c r="W515" s="101">
        <f t="shared" si="145"/>
        <v>0</v>
      </c>
      <c r="X515" s="101">
        <f t="shared" si="145"/>
        <v>0</v>
      </c>
      <c r="Y515" s="101">
        <f t="shared" si="145"/>
        <v>0</v>
      </c>
      <c r="AQ515" s="3"/>
    </row>
    <row r="516" spans="3:43" x14ac:dyDescent="0.35">
      <c r="E516" s="352" t="s">
        <v>253</v>
      </c>
      <c r="F516" s="353"/>
      <c r="J516" s="26"/>
      <c r="K516" s="26"/>
      <c r="L516" s="26"/>
      <c r="M516" s="26"/>
      <c r="N516" s="26"/>
      <c r="O516" s="26"/>
      <c r="P516" s="26"/>
      <c r="Q516" s="26"/>
      <c r="R516" s="26"/>
      <c r="S516" s="26"/>
      <c r="T516" s="26"/>
      <c r="U516" s="26"/>
      <c r="V516" s="26"/>
      <c r="W516" s="26"/>
      <c r="X516" s="26"/>
      <c r="Y516" s="26"/>
      <c r="AQ516" s="3"/>
    </row>
    <row r="517" spans="3:43" x14ac:dyDescent="0.35">
      <c r="E517" s="352"/>
      <c r="F517" s="353" t="s">
        <v>983</v>
      </c>
      <c r="G517" t="s">
        <v>254</v>
      </c>
      <c r="J517" s="131">
        <f t="shared" ref="J517:Y517" si="146">J359</f>
        <v>0</v>
      </c>
      <c r="K517" s="131">
        <f t="shared" si="146"/>
        <v>0</v>
      </c>
      <c r="L517" s="131">
        <f t="shared" si="146"/>
        <v>0</v>
      </c>
      <c r="M517" s="131">
        <f t="shared" si="146"/>
        <v>0</v>
      </c>
      <c r="N517" s="131">
        <f t="shared" si="146"/>
        <v>0</v>
      </c>
      <c r="O517" s="131">
        <f t="shared" si="146"/>
        <v>0</v>
      </c>
      <c r="P517" s="131">
        <f t="shared" si="146"/>
        <v>0</v>
      </c>
      <c r="Q517" s="131">
        <f t="shared" si="146"/>
        <v>0</v>
      </c>
      <c r="R517" s="131">
        <f t="shared" si="146"/>
        <v>0</v>
      </c>
      <c r="S517" s="131">
        <f t="shared" si="146"/>
        <v>0</v>
      </c>
      <c r="T517" s="131">
        <f t="shared" si="146"/>
        <v>12161.310051003624</v>
      </c>
      <c r="U517" s="131">
        <f t="shared" si="146"/>
        <v>0</v>
      </c>
      <c r="V517" s="131">
        <f t="shared" si="146"/>
        <v>0</v>
      </c>
      <c r="W517" s="131">
        <f t="shared" si="146"/>
        <v>0</v>
      </c>
      <c r="X517" s="131">
        <f t="shared" si="146"/>
        <v>36125.02323166062</v>
      </c>
      <c r="Y517" s="131">
        <f t="shared" si="146"/>
        <v>0</v>
      </c>
      <c r="AQ517" s="3"/>
    </row>
    <row r="518" spans="3:43" x14ac:dyDescent="0.35">
      <c r="E518" s="352"/>
      <c r="F518" s="353" t="s">
        <v>984</v>
      </c>
      <c r="G518" t="s">
        <v>254</v>
      </c>
      <c r="J518" s="364">
        <f t="shared" ref="J518:Y518" si="147">J388</f>
        <v>0</v>
      </c>
      <c r="K518" s="364">
        <f t="shared" si="147"/>
        <v>0</v>
      </c>
      <c r="L518" s="364">
        <f t="shared" si="147"/>
        <v>0</v>
      </c>
      <c r="M518" s="364">
        <f t="shared" si="147"/>
        <v>0</v>
      </c>
      <c r="N518" s="364">
        <f t="shared" si="147"/>
        <v>33456.426829632837</v>
      </c>
      <c r="O518" s="364">
        <f t="shared" si="147"/>
        <v>502.20256164819767</v>
      </c>
      <c r="P518" s="364">
        <f t="shared" si="147"/>
        <v>12541.854171679766</v>
      </c>
      <c r="Q518" s="364">
        <f t="shared" si="147"/>
        <v>0</v>
      </c>
      <c r="R518" s="364">
        <f t="shared" si="147"/>
        <v>0</v>
      </c>
      <c r="S518" s="364">
        <f t="shared" si="147"/>
        <v>0</v>
      </c>
      <c r="T518" s="364">
        <f t="shared" si="147"/>
        <v>0</v>
      </c>
      <c r="U518" s="364">
        <f t="shared" si="147"/>
        <v>0</v>
      </c>
      <c r="V518" s="364">
        <f t="shared" si="147"/>
        <v>0</v>
      </c>
      <c r="W518" s="364">
        <f t="shared" si="147"/>
        <v>0</v>
      </c>
      <c r="X518" s="364">
        <f t="shared" si="147"/>
        <v>0</v>
      </c>
      <c r="Y518" s="364">
        <f t="shared" si="147"/>
        <v>0</v>
      </c>
      <c r="AQ518" s="3"/>
    </row>
    <row r="519" spans="3:43" x14ac:dyDescent="0.35">
      <c r="E519" s="352"/>
      <c r="F519" s="353" t="s">
        <v>985</v>
      </c>
      <c r="G519" t="s">
        <v>254</v>
      </c>
      <c r="J519" s="364">
        <f t="shared" ref="J519:Y519" si="148">J417</f>
        <v>0</v>
      </c>
      <c r="K519" s="364">
        <f t="shared" si="148"/>
        <v>0</v>
      </c>
      <c r="L519" s="364">
        <f t="shared" si="148"/>
        <v>0</v>
      </c>
      <c r="M519" s="364">
        <f t="shared" si="148"/>
        <v>0</v>
      </c>
      <c r="N519" s="364">
        <f t="shared" si="148"/>
        <v>34371.829718873109</v>
      </c>
      <c r="O519" s="364">
        <f t="shared" si="148"/>
        <v>308.03052322830916</v>
      </c>
      <c r="P519" s="364">
        <f t="shared" si="148"/>
        <v>34873.326695365504</v>
      </c>
      <c r="Q519" s="364">
        <f t="shared" si="148"/>
        <v>0</v>
      </c>
      <c r="R519" s="364">
        <f t="shared" si="148"/>
        <v>0</v>
      </c>
      <c r="S519" s="364">
        <f t="shared" si="148"/>
        <v>0</v>
      </c>
      <c r="T519" s="364">
        <f t="shared" si="148"/>
        <v>0</v>
      </c>
      <c r="U519" s="364">
        <f t="shared" si="148"/>
        <v>0</v>
      </c>
      <c r="V519" s="364">
        <f t="shared" si="148"/>
        <v>0</v>
      </c>
      <c r="W519" s="364">
        <f t="shared" si="148"/>
        <v>0</v>
      </c>
      <c r="X519" s="364">
        <f t="shared" si="148"/>
        <v>0</v>
      </c>
      <c r="Y519" s="364">
        <f t="shared" si="148"/>
        <v>0</v>
      </c>
      <c r="AQ519" s="3"/>
    </row>
    <row r="520" spans="3:43" x14ac:dyDescent="0.35">
      <c r="E520" s="352"/>
      <c r="F520" s="353" t="s">
        <v>987</v>
      </c>
      <c r="G520" t="s">
        <v>254</v>
      </c>
      <c r="J520" s="101">
        <f t="shared" ref="J520:Y520" si="149">J446</f>
        <v>0</v>
      </c>
      <c r="K520" s="101">
        <f t="shared" si="149"/>
        <v>0</v>
      </c>
      <c r="L520" s="101">
        <f t="shared" si="149"/>
        <v>0</v>
      </c>
      <c r="M520" s="101">
        <f t="shared" si="149"/>
        <v>0</v>
      </c>
      <c r="N520" s="101">
        <f t="shared" si="149"/>
        <v>25988.908214700699</v>
      </c>
      <c r="O520" s="101">
        <f t="shared" si="149"/>
        <v>912.58129098338452</v>
      </c>
      <c r="P520" s="101">
        <f t="shared" si="149"/>
        <v>29198.388214107654</v>
      </c>
      <c r="Q520" s="101">
        <f t="shared" si="149"/>
        <v>0</v>
      </c>
      <c r="R520" s="101">
        <f t="shared" si="149"/>
        <v>0</v>
      </c>
      <c r="S520" s="101">
        <f t="shared" si="149"/>
        <v>0</v>
      </c>
      <c r="T520" s="101">
        <f t="shared" si="149"/>
        <v>0</v>
      </c>
      <c r="U520" s="101">
        <f t="shared" si="149"/>
        <v>0</v>
      </c>
      <c r="V520" s="101">
        <f t="shared" si="149"/>
        <v>0</v>
      </c>
      <c r="W520" s="101">
        <f t="shared" si="149"/>
        <v>0</v>
      </c>
      <c r="X520" s="101">
        <f t="shared" si="149"/>
        <v>0</v>
      </c>
      <c r="Y520" s="101">
        <f t="shared" si="149"/>
        <v>0</v>
      </c>
      <c r="AQ520" s="3"/>
    </row>
    <row r="521" spans="3:43" x14ac:dyDescent="0.35">
      <c r="E521" s="80"/>
      <c r="F521" s="354" t="s">
        <v>986</v>
      </c>
      <c r="G521" s="37" t="s">
        <v>254</v>
      </c>
      <c r="H521" s="37"/>
      <c r="I521" s="37"/>
      <c r="J521" s="364">
        <f t="shared" ref="J521:Y521" si="150">J475</f>
        <v>0</v>
      </c>
      <c r="K521" s="364">
        <f t="shared" si="150"/>
        <v>0</v>
      </c>
      <c r="L521" s="364">
        <f t="shared" si="150"/>
        <v>0</v>
      </c>
      <c r="M521" s="364">
        <f t="shared" si="150"/>
        <v>0</v>
      </c>
      <c r="N521" s="364">
        <f t="shared" si="150"/>
        <v>70739.993267096754</v>
      </c>
      <c r="O521" s="364">
        <f t="shared" si="150"/>
        <v>7127.3667791587523</v>
      </c>
      <c r="P521" s="364">
        <f t="shared" si="150"/>
        <v>58594.680737713454</v>
      </c>
      <c r="Q521" s="364">
        <f t="shared" si="150"/>
        <v>0</v>
      </c>
      <c r="R521" s="364">
        <f t="shared" si="150"/>
        <v>0</v>
      </c>
      <c r="S521" s="364">
        <f t="shared" si="150"/>
        <v>0</v>
      </c>
      <c r="T521" s="364">
        <f t="shared" si="150"/>
        <v>0</v>
      </c>
      <c r="U521" s="364">
        <f t="shared" si="150"/>
        <v>0</v>
      </c>
      <c r="V521" s="364">
        <f t="shared" si="150"/>
        <v>0</v>
      </c>
      <c r="W521" s="364">
        <f t="shared" si="150"/>
        <v>0</v>
      </c>
      <c r="X521" s="364">
        <f t="shared" si="150"/>
        <v>0</v>
      </c>
      <c r="Y521" s="364">
        <f t="shared" si="150"/>
        <v>0</v>
      </c>
      <c r="AQ521" s="3"/>
    </row>
    <row r="522" spans="3:43" x14ac:dyDescent="0.35">
      <c r="AQ522" s="3"/>
    </row>
    <row r="523" spans="3:43" x14ac:dyDescent="0.35">
      <c r="C523" s="31" t="str">
        <f ca="1">INDEX('Version control'!$H$34:$H$57,MATCH($A$1,'Version control'!$F$34:$F$57,0),1)&amp;"-J: Volumes by residual band"</f>
        <v>Section 104-J: Volumes by residual band</v>
      </c>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Q523" s="3"/>
    </row>
    <row r="524" spans="3:43" x14ac:dyDescent="0.35">
      <c r="C524" s="32"/>
      <c r="AQ524" s="3"/>
    </row>
    <row r="525" spans="3:43" x14ac:dyDescent="0.35">
      <c r="D525" s="32" t="s">
        <v>1135</v>
      </c>
      <c r="AQ525" s="3"/>
    </row>
    <row r="526" spans="3:43" x14ac:dyDescent="0.35">
      <c r="E526" s="78" t="s">
        <v>247</v>
      </c>
      <c r="F526" s="23"/>
      <c r="G526" s="23"/>
      <c r="H526" s="23"/>
      <c r="I526" s="23"/>
      <c r="J526" s="23"/>
      <c r="K526" s="23"/>
      <c r="L526" s="23"/>
      <c r="M526" s="23"/>
      <c r="N526" s="23"/>
      <c r="O526" s="23"/>
      <c r="P526" s="23"/>
      <c r="Q526" s="23"/>
      <c r="R526" s="23"/>
      <c r="S526" s="23"/>
      <c r="T526" s="23"/>
      <c r="U526" s="23"/>
      <c r="V526" s="23"/>
      <c r="W526" s="23"/>
      <c r="X526" s="23"/>
      <c r="Y526" s="23"/>
      <c r="AQ526" s="3"/>
    </row>
    <row r="527" spans="3:43" x14ac:dyDescent="0.35">
      <c r="E527" s="352"/>
      <c r="F527" s="2" t="s">
        <v>983</v>
      </c>
      <c r="G527" t="s">
        <v>207</v>
      </c>
      <c r="J527" s="131">
        <f>J58</f>
        <v>0</v>
      </c>
      <c r="K527" s="131">
        <f t="shared" ref="K527:Y527" si="151">K58</f>
        <v>9396.1650095049135</v>
      </c>
      <c r="L527" s="131">
        <f t="shared" si="151"/>
        <v>0</v>
      </c>
      <c r="M527" s="131">
        <f t="shared" si="151"/>
        <v>454.90419700623829</v>
      </c>
      <c r="N527" s="131">
        <f t="shared" si="151"/>
        <v>0</v>
      </c>
      <c r="O527" s="131">
        <f t="shared" si="151"/>
        <v>0</v>
      </c>
      <c r="P527" s="131">
        <f t="shared" si="151"/>
        <v>0</v>
      </c>
      <c r="Q527" s="131">
        <f t="shared" si="151"/>
        <v>0</v>
      </c>
      <c r="R527" s="131">
        <f t="shared" si="151"/>
        <v>650.78467700282442</v>
      </c>
      <c r="S527" s="131">
        <f t="shared" si="151"/>
        <v>0.19900000000000004</v>
      </c>
      <c r="T527" s="131">
        <f t="shared" si="151"/>
        <v>37028.598245563808</v>
      </c>
      <c r="U527" s="131">
        <f t="shared" si="151"/>
        <v>0</v>
      </c>
      <c r="V527" s="131">
        <f t="shared" si="151"/>
        <v>324.10167419354838</v>
      </c>
      <c r="W527" s="131">
        <f t="shared" si="151"/>
        <v>0</v>
      </c>
      <c r="X527" s="131">
        <f t="shared" si="151"/>
        <v>166464.50181248464</v>
      </c>
      <c r="Y527" s="131">
        <f t="shared" si="151"/>
        <v>0</v>
      </c>
      <c r="AQ527" s="3"/>
    </row>
    <row r="528" spans="3:43" x14ac:dyDescent="0.35">
      <c r="E528" s="352"/>
      <c r="F528" s="2" t="s">
        <v>984</v>
      </c>
      <c r="G528" t="s">
        <v>207</v>
      </c>
      <c r="J528" s="364">
        <f>J67</f>
        <v>322302.2649968901</v>
      </c>
      <c r="K528" s="364">
        <f t="shared" ref="K528:Y528" si="152">K67</f>
        <v>0</v>
      </c>
      <c r="L528" s="364">
        <f t="shared" si="152"/>
        <v>3440.4390905533428</v>
      </c>
      <c r="M528" s="364">
        <f t="shared" si="152"/>
        <v>0</v>
      </c>
      <c r="N528" s="364">
        <f t="shared" si="152"/>
        <v>28727.815582636696</v>
      </c>
      <c r="O528" s="364">
        <f t="shared" si="152"/>
        <v>637.36533546418946</v>
      </c>
      <c r="P528" s="364">
        <f t="shared" si="152"/>
        <v>6871.6648257276338</v>
      </c>
      <c r="Q528" s="364">
        <f t="shared" si="152"/>
        <v>6021.5121963867368</v>
      </c>
      <c r="R528" s="364">
        <f t="shared" si="152"/>
        <v>0</v>
      </c>
      <c r="S528" s="364">
        <f t="shared" si="152"/>
        <v>0</v>
      </c>
      <c r="T528" s="364">
        <f t="shared" si="152"/>
        <v>0</v>
      </c>
      <c r="U528" s="364">
        <f t="shared" si="152"/>
        <v>0</v>
      </c>
      <c r="V528" s="364">
        <f t="shared" si="152"/>
        <v>0</v>
      </c>
      <c r="W528" s="364">
        <f t="shared" si="152"/>
        <v>0</v>
      </c>
      <c r="X528" s="364">
        <f t="shared" si="152"/>
        <v>0</v>
      </c>
      <c r="Y528" s="364">
        <f t="shared" si="152"/>
        <v>0</v>
      </c>
      <c r="AQ528" s="3"/>
    </row>
    <row r="529" spans="5:43" x14ac:dyDescent="0.35">
      <c r="E529" s="352"/>
      <c r="F529" s="2" t="s">
        <v>985</v>
      </c>
      <c r="G529" t="s">
        <v>207</v>
      </c>
      <c r="J529" s="364">
        <f>J76</f>
        <v>0</v>
      </c>
      <c r="K529" s="364">
        <f t="shared" ref="K529:Y529" si="153">K76</f>
        <v>0</v>
      </c>
      <c r="L529" s="364">
        <f t="shared" si="153"/>
        <v>16514.787577313004</v>
      </c>
      <c r="M529" s="364">
        <f t="shared" si="153"/>
        <v>0</v>
      </c>
      <c r="N529" s="364">
        <f t="shared" si="153"/>
        <v>29513.838714151007</v>
      </c>
      <c r="O529" s="364">
        <f t="shared" si="153"/>
        <v>390.93384375875104</v>
      </c>
      <c r="P529" s="364">
        <f t="shared" si="153"/>
        <v>19107.04821857742</v>
      </c>
      <c r="Q529" s="364">
        <f t="shared" si="153"/>
        <v>0</v>
      </c>
      <c r="R529" s="364">
        <f t="shared" si="153"/>
        <v>0</v>
      </c>
      <c r="S529" s="364">
        <f t="shared" si="153"/>
        <v>0</v>
      </c>
      <c r="T529" s="364">
        <f t="shared" si="153"/>
        <v>0</v>
      </c>
      <c r="U529" s="364">
        <f t="shared" si="153"/>
        <v>0</v>
      </c>
      <c r="V529" s="364">
        <f t="shared" si="153"/>
        <v>0</v>
      </c>
      <c r="W529" s="364">
        <f t="shared" si="153"/>
        <v>0</v>
      </c>
      <c r="X529" s="364">
        <f t="shared" si="153"/>
        <v>0</v>
      </c>
      <c r="Y529" s="364">
        <f t="shared" si="153"/>
        <v>0</v>
      </c>
      <c r="AQ529" s="3"/>
    </row>
    <row r="530" spans="5:43" x14ac:dyDescent="0.35">
      <c r="E530" s="352"/>
      <c r="F530" s="2" t="s">
        <v>987</v>
      </c>
      <c r="G530" t="s">
        <v>207</v>
      </c>
      <c r="J530" s="101">
        <f>J85</f>
        <v>0</v>
      </c>
      <c r="K530" s="101">
        <f t="shared" ref="K530:Y530" si="154">K85</f>
        <v>0</v>
      </c>
      <c r="L530" s="101">
        <f t="shared" si="154"/>
        <v>23010.46824760376</v>
      </c>
      <c r="M530" s="101">
        <f t="shared" si="154"/>
        <v>0</v>
      </c>
      <c r="N530" s="101">
        <f t="shared" si="154"/>
        <v>22315.72923755012</v>
      </c>
      <c r="O530" s="101">
        <f t="shared" si="154"/>
        <v>1158.1933767064754</v>
      </c>
      <c r="P530" s="101">
        <f t="shared" si="154"/>
        <v>15997.757150763569</v>
      </c>
      <c r="Q530" s="101">
        <f t="shared" si="154"/>
        <v>0</v>
      </c>
      <c r="R530" s="101">
        <f t="shared" si="154"/>
        <v>0</v>
      </c>
      <c r="S530" s="101">
        <f t="shared" si="154"/>
        <v>0</v>
      </c>
      <c r="T530" s="101">
        <f t="shared" si="154"/>
        <v>0</v>
      </c>
      <c r="U530" s="101">
        <f t="shared" si="154"/>
        <v>0</v>
      </c>
      <c r="V530" s="101">
        <f t="shared" si="154"/>
        <v>0</v>
      </c>
      <c r="W530" s="101">
        <f t="shared" si="154"/>
        <v>0</v>
      </c>
      <c r="X530" s="101">
        <f t="shared" si="154"/>
        <v>0</v>
      </c>
      <c r="Y530" s="101">
        <f t="shared" si="154"/>
        <v>0</v>
      </c>
      <c r="AQ530" s="3"/>
    </row>
    <row r="531" spans="5:43" x14ac:dyDescent="0.35">
      <c r="E531" s="352"/>
      <c r="F531" s="2" t="s">
        <v>986</v>
      </c>
      <c r="G531" t="s">
        <v>207</v>
      </c>
      <c r="J531" s="101">
        <f>J94</f>
        <v>0</v>
      </c>
      <c r="K531" s="101">
        <f t="shared" ref="K531:Y531" si="155">K94</f>
        <v>0</v>
      </c>
      <c r="L531" s="101">
        <f t="shared" si="155"/>
        <v>60897.322396953918</v>
      </c>
      <c r="M531" s="101">
        <f t="shared" si="155"/>
        <v>0</v>
      </c>
      <c r="N531" s="101">
        <f t="shared" si="155"/>
        <v>60741.856601798361</v>
      </c>
      <c r="O531" s="101">
        <f t="shared" si="155"/>
        <v>9045.6259387962073</v>
      </c>
      <c r="P531" s="101">
        <f t="shared" si="155"/>
        <v>32103.945803267059</v>
      </c>
      <c r="Q531" s="101">
        <f t="shared" si="155"/>
        <v>0</v>
      </c>
      <c r="R531" s="101">
        <f t="shared" si="155"/>
        <v>0</v>
      </c>
      <c r="S531" s="101">
        <f t="shared" si="155"/>
        <v>0</v>
      </c>
      <c r="T531" s="101">
        <f t="shared" si="155"/>
        <v>0</v>
      </c>
      <c r="U531" s="101">
        <f t="shared" si="155"/>
        <v>0</v>
      </c>
      <c r="V531" s="101">
        <f t="shared" si="155"/>
        <v>0</v>
      </c>
      <c r="W531" s="101">
        <f t="shared" si="155"/>
        <v>0</v>
      </c>
      <c r="X531" s="101">
        <f t="shared" si="155"/>
        <v>0</v>
      </c>
      <c r="Y531" s="101">
        <f t="shared" si="155"/>
        <v>0</v>
      </c>
      <c r="AQ531" s="3"/>
    </row>
    <row r="532" spans="5:43" x14ac:dyDescent="0.35">
      <c r="E532" s="72" t="s">
        <v>248</v>
      </c>
      <c r="F532" s="2"/>
      <c r="J532" s="26"/>
      <c r="K532" s="26"/>
      <c r="L532" s="26"/>
      <c r="M532" s="26"/>
      <c r="N532" s="26"/>
      <c r="O532" s="26"/>
      <c r="P532" s="26"/>
      <c r="Q532" s="26"/>
      <c r="R532" s="26"/>
      <c r="S532" s="26"/>
      <c r="T532" s="26"/>
      <c r="U532" s="26"/>
      <c r="V532" s="26"/>
      <c r="W532" s="26"/>
      <c r="X532" s="26"/>
      <c r="Y532" s="26"/>
      <c r="AQ532" s="3"/>
    </row>
    <row r="533" spans="5:43" x14ac:dyDescent="0.35">
      <c r="E533" s="352"/>
      <c r="F533" s="2" t="s">
        <v>983</v>
      </c>
      <c r="G533" t="s">
        <v>207</v>
      </c>
      <c r="J533" s="131">
        <f>J59</f>
        <v>0</v>
      </c>
      <c r="K533" s="131">
        <f t="shared" ref="K533:Y533" si="156">K59</f>
        <v>146290.47824065451</v>
      </c>
      <c r="L533" s="131">
        <f t="shared" si="156"/>
        <v>0</v>
      </c>
      <c r="M533" s="131">
        <f t="shared" si="156"/>
        <v>8911.3295663483332</v>
      </c>
      <c r="N533" s="131">
        <f t="shared" si="156"/>
        <v>0</v>
      </c>
      <c r="O533" s="131">
        <f t="shared" si="156"/>
        <v>0</v>
      </c>
      <c r="P533" s="131">
        <f t="shared" si="156"/>
        <v>0</v>
      </c>
      <c r="Q533" s="131">
        <f t="shared" si="156"/>
        <v>0</v>
      </c>
      <c r="R533" s="131">
        <f t="shared" si="156"/>
        <v>3502.3381089269142</v>
      </c>
      <c r="S533" s="131">
        <f t="shared" si="156"/>
        <v>1.391</v>
      </c>
      <c r="T533" s="131">
        <f t="shared" si="156"/>
        <v>177224.06606561315</v>
      </c>
      <c r="U533" s="131">
        <f t="shared" si="156"/>
        <v>0</v>
      </c>
      <c r="V533" s="131">
        <f t="shared" si="156"/>
        <v>1487.9755864997869</v>
      </c>
      <c r="W533" s="131">
        <f t="shared" si="156"/>
        <v>0</v>
      </c>
      <c r="X533" s="131">
        <f t="shared" si="156"/>
        <v>712457.12239743408</v>
      </c>
      <c r="Y533" s="131">
        <f t="shared" si="156"/>
        <v>0</v>
      </c>
      <c r="AQ533" s="3"/>
    </row>
    <row r="534" spans="5:43" x14ac:dyDescent="0.35">
      <c r="E534" s="352"/>
      <c r="F534" s="2" t="s">
        <v>984</v>
      </c>
      <c r="G534" t="s">
        <v>207</v>
      </c>
      <c r="J534" s="364">
        <f>J68</f>
        <v>1235375.6941167442</v>
      </c>
      <c r="K534" s="364">
        <f t="shared" ref="K534:Y534" si="157">K68</f>
        <v>0</v>
      </c>
      <c r="L534" s="364">
        <f t="shared" si="157"/>
        <v>17908.098477887361</v>
      </c>
      <c r="M534" s="364">
        <f t="shared" si="157"/>
        <v>0</v>
      </c>
      <c r="N534" s="364">
        <f t="shared" si="157"/>
        <v>143762.10976742959</v>
      </c>
      <c r="O534" s="364">
        <f t="shared" si="157"/>
        <v>3009.0799200252268</v>
      </c>
      <c r="P534" s="364">
        <f t="shared" si="157"/>
        <v>33930.257102388103</v>
      </c>
      <c r="Q534" s="364">
        <f t="shared" si="157"/>
        <v>29213.624042833315</v>
      </c>
      <c r="R534" s="364">
        <f t="shared" si="157"/>
        <v>0</v>
      </c>
      <c r="S534" s="364">
        <f t="shared" si="157"/>
        <v>0</v>
      </c>
      <c r="T534" s="364">
        <f t="shared" si="157"/>
        <v>0</v>
      </c>
      <c r="U534" s="364">
        <f t="shared" si="157"/>
        <v>0</v>
      </c>
      <c r="V534" s="364">
        <f t="shared" si="157"/>
        <v>0</v>
      </c>
      <c r="W534" s="364">
        <f t="shared" si="157"/>
        <v>0</v>
      </c>
      <c r="X534" s="364">
        <f t="shared" si="157"/>
        <v>0</v>
      </c>
      <c r="Y534" s="364">
        <f t="shared" si="157"/>
        <v>0</v>
      </c>
      <c r="AQ534" s="3"/>
    </row>
    <row r="535" spans="5:43" x14ac:dyDescent="0.35">
      <c r="E535" s="352"/>
      <c r="F535" s="2" t="s">
        <v>985</v>
      </c>
      <c r="G535" t="s">
        <v>207</v>
      </c>
      <c r="J535" s="364">
        <f>J77</f>
        <v>0</v>
      </c>
      <c r="K535" s="364">
        <f t="shared" ref="K535:Y535" si="158">K77</f>
        <v>0</v>
      </c>
      <c r="L535" s="364">
        <f t="shared" si="158"/>
        <v>85962.411916539815</v>
      </c>
      <c r="M535" s="364">
        <f t="shared" si="158"/>
        <v>0</v>
      </c>
      <c r="N535" s="364">
        <f t="shared" si="158"/>
        <v>147695.59170542969</v>
      </c>
      <c r="O535" s="364">
        <f t="shared" si="158"/>
        <v>1845.646623464402</v>
      </c>
      <c r="P535" s="364">
        <f t="shared" si="158"/>
        <v>94344.976794675051</v>
      </c>
      <c r="Q535" s="364">
        <f t="shared" si="158"/>
        <v>0</v>
      </c>
      <c r="R535" s="364">
        <f t="shared" si="158"/>
        <v>0</v>
      </c>
      <c r="S535" s="364">
        <f t="shared" si="158"/>
        <v>0</v>
      </c>
      <c r="T535" s="364">
        <f t="shared" si="158"/>
        <v>0</v>
      </c>
      <c r="U535" s="364">
        <f t="shared" si="158"/>
        <v>0</v>
      </c>
      <c r="V535" s="364">
        <f t="shared" si="158"/>
        <v>0</v>
      </c>
      <c r="W535" s="364">
        <f t="shared" si="158"/>
        <v>0</v>
      </c>
      <c r="X535" s="364">
        <f t="shared" si="158"/>
        <v>0</v>
      </c>
      <c r="Y535" s="364">
        <f t="shared" si="158"/>
        <v>0</v>
      </c>
      <c r="AQ535" s="3"/>
    </row>
    <row r="536" spans="5:43" x14ac:dyDescent="0.35">
      <c r="E536" s="352"/>
      <c r="F536" s="2" t="s">
        <v>987</v>
      </c>
      <c r="G536" t="s">
        <v>207</v>
      </c>
      <c r="J536" s="101">
        <f>J86</f>
        <v>0</v>
      </c>
      <c r="K536" s="101">
        <f t="shared" ref="K536:Y536" si="159">K86</f>
        <v>0</v>
      </c>
      <c r="L536" s="101">
        <f t="shared" si="159"/>
        <v>119773.58719468348</v>
      </c>
      <c r="M536" s="101">
        <f t="shared" si="159"/>
        <v>0</v>
      </c>
      <c r="N536" s="101">
        <f t="shared" si="159"/>
        <v>111674.21716978548</v>
      </c>
      <c r="O536" s="101">
        <f t="shared" si="159"/>
        <v>5467.9729810148729</v>
      </c>
      <c r="P536" s="101">
        <f t="shared" si="159"/>
        <v>78992.213234075811</v>
      </c>
      <c r="Q536" s="101">
        <f t="shared" si="159"/>
        <v>0</v>
      </c>
      <c r="R536" s="101">
        <f t="shared" si="159"/>
        <v>0</v>
      </c>
      <c r="S536" s="101">
        <f t="shared" si="159"/>
        <v>0</v>
      </c>
      <c r="T536" s="101">
        <f t="shared" si="159"/>
        <v>0</v>
      </c>
      <c r="U536" s="101">
        <f t="shared" si="159"/>
        <v>0</v>
      </c>
      <c r="V536" s="101">
        <f t="shared" si="159"/>
        <v>0</v>
      </c>
      <c r="W536" s="101">
        <f t="shared" si="159"/>
        <v>0</v>
      </c>
      <c r="X536" s="101">
        <f t="shared" si="159"/>
        <v>0</v>
      </c>
      <c r="Y536" s="101">
        <f t="shared" si="159"/>
        <v>0</v>
      </c>
      <c r="AQ536" s="3"/>
    </row>
    <row r="537" spans="5:43" x14ac:dyDescent="0.35">
      <c r="E537" s="352"/>
      <c r="F537" s="2" t="s">
        <v>986</v>
      </c>
      <c r="G537" t="s">
        <v>207</v>
      </c>
      <c r="J537" s="101">
        <f>J95</f>
        <v>0</v>
      </c>
      <c r="K537" s="101">
        <f t="shared" ref="K537:Y537" si="160">K95</f>
        <v>0</v>
      </c>
      <c r="L537" s="101">
        <f t="shared" si="160"/>
        <v>316981.41365697217</v>
      </c>
      <c r="M537" s="101">
        <f t="shared" si="160"/>
        <v>0</v>
      </c>
      <c r="N537" s="101">
        <f t="shared" si="160"/>
        <v>303969.42054804601</v>
      </c>
      <c r="O537" s="101">
        <f t="shared" si="160"/>
        <v>42705.509480944012</v>
      </c>
      <c r="P537" s="101">
        <f t="shared" si="160"/>
        <v>158519.82928906029</v>
      </c>
      <c r="Q537" s="101">
        <f t="shared" si="160"/>
        <v>0</v>
      </c>
      <c r="R537" s="101">
        <f t="shared" si="160"/>
        <v>0</v>
      </c>
      <c r="S537" s="101">
        <f t="shared" si="160"/>
        <v>0</v>
      </c>
      <c r="T537" s="101">
        <f t="shared" si="160"/>
        <v>0</v>
      </c>
      <c r="U537" s="101">
        <f t="shared" si="160"/>
        <v>0</v>
      </c>
      <c r="V537" s="101">
        <f t="shared" si="160"/>
        <v>0</v>
      </c>
      <c r="W537" s="101">
        <f t="shared" si="160"/>
        <v>0</v>
      </c>
      <c r="X537" s="101">
        <f t="shared" si="160"/>
        <v>0</v>
      </c>
      <c r="Y537" s="101">
        <f t="shared" si="160"/>
        <v>0</v>
      </c>
      <c r="AQ537" s="3"/>
    </row>
    <row r="538" spans="5:43" x14ac:dyDescent="0.35">
      <c r="E538" s="72" t="s">
        <v>249</v>
      </c>
      <c r="F538" s="2"/>
      <c r="J538" s="26"/>
      <c r="K538" s="26"/>
      <c r="L538" s="26"/>
      <c r="M538" s="26"/>
      <c r="N538" s="26"/>
      <c r="O538" s="26"/>
      <c r="P538" s="26"/>
      <c r="Q538" s="26"/>
      <c r="R538" s="26"/>
      <c r="S538" s="26"/>
      <c r="T538" s="26"/>
      <c r="U538" s="26"/>
      <c r="V538" s="26"/>
      <c r="W538" s="26"/>
      <c r="X538" s="26"/>
      <c r="Y538" s="26"/>
      <c r="AQ538" s="3"/>
    </row>
    <row r="539" spans="5:43" x14ac:dyDescent="0.35">
      <c r="E539" s="352"/>
      <c r="F539" s="2" t="s">
        <v>983</v>
      </c>
      <c r="G539" t="s">
        <v>207</v>
      </c>
      <c r="J539" s="131">
        <f>J60</f>
        <v>0</v>
      </c>
      <c r="K539" s="131">
        <f t="shared" ref="K539:Y539" si="161">K60</f>
        <v>211336.36964169086</v>
      </c>
      <c r="L539" s="131">
        <f t="shared" si="161"/>
        <v>0</v>
      </c>
      <c r="M539" s="131">
        <f t="shared" si="161"/>
        <v>14290.612390057293</v>
      </c>
      <c r="N539" s="131">
        <f t="shared" si="161"/>
        <v>0</v>
      </c>
      <c r="O539" s="131">
        <f t="shared" si="161"/>
        <v>0</v>
      </c>
      <c r="P539" s="131">
        <f t="shared" si="161"/>
        <v>0</v>
      </c>
      <c r="Q539" s="131">
        <f t="shared" si="161"/>
        <v>0</v>
      </c>
      <c r="R539" s="131">
        <f t="shared" si="161"/>
        <v>2112.3642325825435</v>
      </c>
      <c r="S539" s="131">
        <f t="shared" si="161"/>
        <v>0.64400000000000013</v>
      </c>
      <c r="T539" s="131">
        <f t="shared" si="161"/>
        <v>193113.18812858776</v>
      </c>
      <c r="U539" s="131">
        <f t="shared" si="161"/>
        <v>0</v>
      </c>
      <c r="V539" s="131">
        <f t="shared" si="161"/>
        <v>1570.8366193548386</v>
      </c>
      <c r="W539" s="131">
        <f t="shared" si="161"/>
        <v>0</v>
      </c>
      <c r="X539" s="131">
        <f t="shared" si="161"/>
        <v>746890.70756556396</v>
      </c>
      <c r="Y539" s="131">
        <f t="shared" si="161"/>
        <v>0</v>
      </c>
      <c r="AQ539" s="3"/>
    </row>
    <row r="540" spans="5:43" x14ac:dyDescent="0.35">
      <c r="E540" s="352"/>
      <c r="F540" s="2" t="s">
        <v>984</v>
      </c>
      <c r="G540" t="s">
        <v>207</v>
      </c>
      <c r="J540" s="364">
        <f>J69</f>
        <v>1012593.7290870433</v>
      </c>
      <c r="K540" s="364">
        <f t="shared" ref="K540:Y540" si="162">K69</f>
        <v>0</v>
      </c>
      <c r="L540" s="364">
        <f t="shared" si="162"/>
        <v>12003.980648340061</v>
      </c>
      <c r="M540" s="364">
        <f t="shared" si="162"/>
        <v>0</v>
      </c>
      <c r="N540" s="364">
        <f t="shared" si="162"/>
        <v>114821.4396496292</v>
      </c>
      <c r="O540" s="364">
        <f t="shared" si="162"/>
        <v>2935.9701037509471</v>
      </c>
      <c r="P540" s="364">
        <f t="shared" si="162"/>
        <v>31487.123666606396</v>
      </c>
      <c r="Q540" s="364">
        <f t="shared" si="162"/>
        <v>60911.812464155897</v>
      </c>
      <c r="R540" s="364">
        <f t="shared" si="162"/>
        <v>0</v>
      </c>
      <c r="S540" s="364">
        <f t="shared" si="162"/>
        <v>0</v>
      </c>
      <c r="T540" s="364">
        <f t="shared" si="162"/>
        <v>0</v>
      </c>
      <c r="U540" s="364">
        <f t="shared" si="162"/>
        <v>0</v>
      </c>
      <c r="V540" s="364">
        <f t="shared" si="162"/>
        <v>0</v>
      </c>
      <c r="W540" s="364">
        <f t="shared" si="162"/>
        <v>0</v>
      </c>
      <c r="X540" s="364">
        <f t="shared" si="162"/>
        <v>0</v>
      </c>
      <c r="Y540" s="364">
        <f t="shared" si="162"/>
        <v>0</v>
      </c>
      <c r="AQ540" s="3"/>
    </row>
    <row r="541" spans="5:43" x14ac:dyDescent="0.35">
      <c r="E541" s="352"/>
      <c r="F541" s="2" t="s">
        <v>985</v>
      </c>
      <c r="G541" t="s">
        <v>207</v>
      </c>
      <c r="J541" s="364">
        <f>J78</f>
        <v>0</v>
      </c>
      <c r="K541" s="364">
        <f t="shared" ref="K541:Y541" si="163">K78</f>
        <v>0</v>
      </c>
      <c r="L541" s="364">
        <f t="shared" si="163"/>
        <v>57621.479489011297</v>
      </c>
      <c r="M541" s="364">
        <f t="shared" si="163"/>
        <v>0</v>
      </c>
      <c r="N541" s="364">
        <f t="shared" si="163"/>
        <v>117963.07453303231</v>
      </c>
      <c r="O541" s="364">
        <f t="shared" si="163"/>
        <v>1800.8040506065845</v>
      </c>
      <c r="P541" s="364">
        <f t="shared" si="163"/>
        <v>87551.707689475821</v>
      </c>
      <c r="Q541" s="364">
        <f t="shared" si="163"/>
        <v>0</v>
      </c>
      <c r="R541" s="364">
        <f t="shared" si="163"/>
        <v>0</v>
      </c>
      <c r="S541" s="364">
        <f t="shared" si="163"/>
        <v>0</v>
      </c>
      <c r="T541" s="364">
        <f t="shared" si="163"/>
        <v>0</v>
      </c>
      <c r="U541" s="364">
        <f t="shared" si="163"/>
        <v>0</v>
      </c>
      <c r="V541" s="364">
        <f t="shared" si="163"/>
        <v>0</v>
      </c>
      <c r="W541" s="364">
        <f t="shared" si="163"/>
        <v>0</v>
      </c>
      <c r="X541" s="364">
        <f t="shared" si="163"/>
        <v>0</v>
      </c>
      <c r="Y541" s="364">
        <f t="shared" si="163"/>
        <v>0</v>
      </c>
      <c r="AQ541" s="3"/>
    </row>
    <row r="542" spans="5:43" x14ac:dyDescent="0.35">
      <c r="E542" s="352"/>
      <c r="F542" s="2" t="s">
        <v>987</v>
      </c>
      <c r="G542" t="s">
        <v>207</v>
      </c>
      <c r="J542" s="101">
        <f>J87</f>
        <v>0</v>
      </c>
      <c r="K542" s="101">
        <f t="shared" ref="K542:Y542" si="164">K87</f>
        <v>0</v>
      </c>
      <c r="L542" s="101">
        <f t="shared" si="164"/>
        <v>80285.454351425127</v>
      </c>
      <c r="M542" s="101">
        <f t="shared" si="164"/>
        <v>0</v>
      </c>
      <c r="N542" s="101">
        <f t="shared" si="164"/>
        <v>89193.142810186881</v>
      </c>
      <c r="O542" s="101">
        <f t="shared" si="164"/>
        <v>5335.120909730781</v>
      </c>
      <c r="P542" s="101">
        <f t="shared" si="164"/>
        <v>73304.413205440433</v>
      </c>
      <c r="Q542" s="101">
        <f t="shared" si="164"/>
        <v>0</v>
      </c>
      <c r="R542" s="101">
        <f t="shared" si="164"/>
        <v>0</v>
      </c>
      <c r="S542" s="101">
        <f t="shared" si="164"/>
        <v>0</v>
      </c>
      <c r="T542" s="101">
        <f t="shared" si="164"/>
        <v>0</v>
      </c>
      <c r="U542" s="101">
        <f t="shared" si="164"/>
        <v>0</v>
      </c>
      <c r="V542" s="101">
        <f t="shared" si="164"/>
        <v>0</v>
      </c>
      <c r="W542" s="101">
        <f t="shared" si="164"/>
        <v>0</v>
      </c>
      <c r="X542" s="101">
        <f t="shared" si="164"/>
        <v>0</v>
      </c>
      <c r="Y542" s="101">
        <f t="shared" si="164"/>
        <v>0</v>
      </c>
      <c r="AQ542" s="3"/>
    </row>
    <row r="543" spans="5:43" x14ac:dyDescent="0.35">
      <c r="E543" s="352"/>
      <c r="F543" s="2" t="s">
        <v>986</v>
      </c>
      <c r="G543" t="s">
        <v>207</v>
      </c>
      <c r="J543" s="101">
        <f>J96</f>
        <v>0</v>
      </c>
      <c r="K543" s="101">
        <f t="shared" ref="K543:Y543" si="165">K96</f>
        <v>0</v>
      </c>
      <c r="L543" s="101">
        <f t="shared" si="165"/>
        <v>212475.86727983275</v>
      </c>
      <c r="M543" s="101">
        <f t="shared" si="165"/>
        <v>0</v>
      </c>
      <c r="N543" s="101">
        <f t="shared" si="165"/>
        <v>242777.50607064052</v>
      </c>
      <c r="O543" s="101">
        <f t="shared" si="165"/>
        <v>41667.919242388591</v>
      </c>
      <c r="P543" s="101">
        <f t="shared" si="165"/>
        <v>147105.67778405288</v>
      </c>
      <c r="Q543" s="101">
        <f t="shared" si="165"/>
        <v>0</v>
      </c>
      <c r="R543" s="101">
        <f t="shared" si="165"/>
        <v>0</v>
      </c>
      <c r="S543" s="101">
        <f t="shared" si="165"/>
        <v>0</v>
      </c>
      <c r="T543" s="101">
        <f t="shared" si="165"/>
        <v>0</v>
      </c>
      <c r="U543" s="101">
        <f t="shared" si="165"/>
        <v>0</v>
      </c>
      <c r="V543" s="101">
        <f t="shared" si="165"/>
        <v>0</v>
      </c>
      <c r="W543" s="101">
        <f t="shared" si="165"/>
        <v>0</v>
      </c>
      <c r="X543" s="101">
        <f t="shared" si="165"/>
        <v>0</v>
      </c>
      <c r="Y543" s="101">
        <f t="shared" si="165"/>
        <v>0</v>
      </c>
      <c r="AQ543" s="3"/>
    </row>
    <row r="544" spans="5:43" x14ac:dyDescent="0.35">
      <c r="E544" s="72" t="s">
        <v>212</v>
      </c>
      <c r="F544" s="2"/>
      <c r="J544" s="26"/>
      <c r="K544" s="26"/>
      <c r="L544" s="26"/>
      <c r="M544" s="26"/>
      <c r="N544" s="26"/>
      <c r="O544" s="26"/>
      <c r="P544" s="26"/>
      <c r="Q544" s="26"/>
      <c r="R544" s="26"/>
      <c r="S544" s="26"/>
      <c r="T544" s="26"/>
      <c r="U544" s="26"/>
      <c r="V544" s="26"/>
      <c r="W544" s="26"/>
      <c r="X544" s="26"/>
      <c r="Y544" s="26"/>
      <c r="AQ544" s="3"/>
    </row>
    <row r="545" spans="5:43" x14ac:dyDescent="0.35">
      <c r="E545" s="352"/>
      <c r="F545" s="2" t="s">
        <v>983</v>
      </c>
      <c r="G545" t="s">
        <v>212</v>
      </c>
      <c r="J545" s="131">
        <f>J61</f>
        <v>0</v>
      </c>
      <c r="K545" s="131">
        <f t="shared" ref="K545:Y545" si="166">K61</f>
        <v>72371.122331145176</v>
      </c>
      <c r="L545" s="131">
        <f t="shared" si="166"/>
        <v>0</v>
      </c>
      <c r="M545" s="131">
        <f t="shared" si="166"/>
        <v>2436.905804440873</v>
      </c>
      <c r="N545" s="131">
        <f t="shared" si="166"/>
        <v>0</v>
      </c>
      <c r="O545" s="131">
        <f t="shared" si="166"/>
        <v>0</v>
      </c>
      <c r="P545" s="131">
        <f t="shared" si="166"/>
        <v>0</v>
      </c>
      <c r="Q545" s="131">
        <f t="shared" si="166"/>
        <v>0</v>
      </c>
      <c r="R545" s="131">
        <f t="shared" si="166"/>
        <v>376.80645161290334</v>
      </c>
      <c r="S545" s="131">
        <f t="shared" si="166"/>
        <v>1</v>
      </c>
      <c r="T545" s="131">
        <f t="shared" si="166"/>
        <v>812.9295222209638</v>
      </c>
      <c r="U545" s="131">
        <f t="shared" si="166"/>
        <v>0</v>
      </c>
      <c r="V545" s="131">
        <f t="shared" si="166"/>
        <v>2</v>
      </c>
      <c r="W545" s="131">
        <f t="shared" si="166"/>
        <v>0</v>
      </c>
      <c r="X545" s="131">
        <f t="shared" si="166"/>
        <v>348.45161290322585</v>
      </c>
      <c r="Y545" s="131">
        <f t="shared" si="166"/>
        <v>0</v>
      </c>
      <c r="AQ545" s="3"/>
    </row>
    <row r="546" spans="5:43" x14ac:dyDescent="0.35">
      <c r="E546" s="352"/>
      <c r="F546" s="2" t="s">
        <v>984</v>
      </c>
      <c r="G546" t="s">
        <v>212</v>
      </c>
      <c r="J546" s="364">
        <f>J70</f>
        <v>706592.44030903245</v>
      </c>
      <c r="K546" s="364">
        <f t="shared" ref="K546:Y546" si="167">K70</f>
        <v>0</v>
      </c>
      <c r="L546" s="364">
        <f t="shared" si="167"/>
        <v>28310.269475554884</v>
      </c>
      <c r="M546" s="364">
        <f t="shared" si="167"/>
        <v>0</v>
      </c>
      <c r="N546" s="364">
        <f t="shared" si="167"/>
        <v>3238.8641752857038</v>
      </c>
      <c r="O546" s="364">
        <f t="shared" si="167"/>
        <v>9.835917905749147</v>
      </c>
      <c r="P546" s="364">
        <f t="shared" si="167"/>
        <v>429.47801019678843</v>
      </c>
      <c r="Q546" s="364">
        <f t="shared" si="167"/>
        <v>1886.5806451612905</v>
      </c>
      <c r="R546" s="364">
        <f t="shared" si="167"/>
        <v>0</v>
      </c>
      <c r="S546" s="364">
        <f t="shared" si="167"/>
        <v>0</v>
      </c>
      <c r="T546" s="364">
        <f t="shared" si="167"/>
        <v>0</v>
      </c>
      <c r="U546" s="364">
        <f t="shared" si="167"/>
        <v>0</v>
      </c>
      <c r="V546" s="364">
        <f t="shared" si="167"/>
        <v>0</v>
      </c>
      <c r="W546" s="364">
        <f t="shared" si="167"/>
        <v>0</v>
      </c>
      <c r="X546" s="364">
        <f t="shared" si="167"/>
        <v>0</v>
      </c>
      <c r="Y546" s="364">
        <f t="shared" si="167"/>
        <v>0</v>
      </c>
      <c r="AQ546" s="3"/>
    </row>
    <row r="547" spans="5:43" x14ac:dyDescent="0.35">
      <c r="E547" s="352"/>
      <c r="F547" s="2" t="s">
        <v>985</v>
      </c>
      <c r="G547" t="s">
        <v>212</v>
      </c>
      <c r="J547" s="364">
        <f>J79</f>
        <v>0</v>
      </c>
      <c r="K547" s="364">
        <f t="shared" ref="K547:Y547" si="168">K79</f>
        <v>0</v>
      </c>
      <c r="L547" s="364">
        <f t="shared" si="168"/>
        <v>22964.998255410857</v>
      </c>
      <c r="M547" s="364">
        <f t="shared" si="168"/>
        <v>0</v>
      </c>
      <c r="N547" s="364">
        <f t="shared" si="168"/>
        <v>1743.2771857257139</v>
      </c>
      <c r="O547" s="364">
        <f t="shared" si="168"/>
        <v>13.114557207665531</v>
      </c>
      <c r="P547" s="364">
        <f t="shared" si="168"/>
        <v>153.45856959069897</v>
      </c>
      <c r="Q547" s="364">
        <f t="shared" si="168"/>
        <v>0</v>
      </c>
      <c r="R547" s="364">
        <f t="shared" si="168"/>
        <v>0</v>
      </c>
      <c r="S547" s="364">
        <f t="shared" si="168"/>
        <v>0</v>
      </c>
      <c r="T547" s="364">
        <f t="shared" si="168"/>
        <v>0</v>
      </c>
      <c r="U547" s="364">
        <f t="shared" si="168"/>
        <v>0</v>
      </c>
      <c r="V547" s="364">
        <f t="shared" si="168"/>
        <v>0</v>
      </c>
      <c r="W547" s="364">
        <f t="shared" si="168"/>
        <v>0</v>
      </c>
      <c r="X547" s="364">
        <f t="shared" si="168"/>
        <v>0</v>
      </c>
      <c r="Y547" s="364">
        <f t="shared" si="168"/>
        <v>0</v>
      </c>
      <c r="AQ547" s="3"/>
    </row>
    <row r="548" spans="5:43" x14ac:dyDescent="0.35">
      <c r="E548" s="352"/>
      <c r="F548" s="2" t="s">
        <v>987</v>
      </c>
      <c r="G548" t="s">
        <v>212</v>
      </c>
      <c r="J548" s="101">
        <f>J88</f>
        <v>0</v>
      </c>
      <c r="K548" s="101">
        <f t="shared" ref="K548:Y548" si="169">K88</f>
        <v>0</v>
      </c>
      <c r="L548" s="101">
        <f t="shared" si="169"/>
        <v>12966.908760035867</v>
      </c>
      <c r="M548" s="101">
        <f t="shared" si="169"/>
        <v>0</v>
      </c>
      <c r="N548" s="101">
        <f t="shared" si="169"/>
        <v>801.84453335005753</v>
      </c>
      <c r="O548" s="101">
        <f t="shared" si="169"/>
        <v>26.229114415331061</v>
      </c>
      <c r="P548" s="101">
        <f t="shared" si="169"/>
        <v>59.735550578929804</v>
      </c>
      <c r="Q548" s="101">
        <f t="shared" si="169"/>
        <v>0</v>
      </c>
      <c r="R548" s="101">
        <f t="shared" si="169"/>
        <v>0</v>
      </c>
      <c r="S548" s="101">
        <f t="shared" si="169"/>
        <v>0</v>
      </c>
      <c r="T548" s="101">
        <f t="shared" si="169"/>
        <v>0</v>
      </c>
      <c r="U548" s="101">
        <f t="shared" si="169"/>
        <v>0</v>
      </c>
      <c r="V548" s="101">
        <f t="shared" si="169"/>
        <v>0</v>
      </c>
      <c r="W548" s="101">
        <f t="shared" si="169"/>
        <v>0</v>
      </c>
      <c r="X548" s="101">
        <f t="shared" si="169"/>
        <v>0</v>
      </c>
      <c r="Y548" s="101">
        <f t="shared" si="169"/>
        <v>0</v>
      </c>
      <c r="AQ548" s="3"/>
    </row>
    <row r="549" spans="5:43" x14ac:dyDescent="0.35">
      <c r="E549" s="352"/>
      <c r="F549" s="2" t="s">
        <v>986</v>
      </c>
      <c r="G549" t="s">
        <v>212</v>
      </c>
      <c r="J549" s="101">
        <f>J97</f>
        <v>0</v>
      </c>
      <c r="K549" s="101">
        <f t="shared" ref="K549:Y549" si="170">K97</f>
        <v>0</v>
      </c>
      <c r="L549" s="101">
        <f t="shared" si="170"/>
        <v>10488.043595893307</v>
      </c>
      <c r="M549" s="101">
        <f t="shared" si="170"/>
        <v>0</v>
      </c>
      <c r="N549" s="101">
        <f t="shared" si="170"/>
        <v>984.4635762858037</v>
      </c>
      <c r="O549" s="101">
        <f t="shared" si="170"/>
        <v>71.037184874854958</v>
      </c>
      <c r="P549" s="101">
        <f t="shared" si="170"/>
        <v>54.585934149711711</v>
      </c>
      <c r="Q549" s="101">
        <f t="shared" si="170"/>
        <v>0</v>
      </c>
      <c r="R549" s="101">
        <f t="shared" si="170"/>
        <v>0</v>
      </c>
      <c r="S549" s="101">
        <f t="shared" si="170"/>
        <v>0</v>
      </c>
      <c r="T549" s="101">
        <f t="shared" si="170"/>
        <v>0</v>
      </c>
      <c r="U549" s="101">
        <f t="shared" si="170"/>
        <v>0</v>
      </c>
      <c r="V549" s="101">
        <f t="shared" si="170"/>
        <v>0</v>
      </c>
      <c r="W549" s="101">
        <f t="shared" si="170"/>
        <v>0</v>
      </c>
      <c r="X549" s="101">
        <f t="shared" si="170"/>
        <v>0</v>
      </c>
      <c r="Y549" s="101">
        <f t="shared" si="170"/>
        <v>0</v>
      </c>
      <c r="AQ549" s="3"/>
    </row>
    <row r="550" spans="5:43" x14ac:dyDescent="0.35">
      <c r="E550" s="72" t="s">
        <v>250</v>
      </c>
      <c r="F550" s="2"/>
      <c r="J550" s="26"/>
      <c r="K550" s="26"/>
      <c r="L550" s="26"/>
      <c r="M550" s="26"/>
      <c r="N550" s="26"/>
      <c r="O550" s="26"/>
      <c r="P550" s="26"/>
      <c r="Q550" s="26"/>
      <c r="R550" s="26"/>
      <c r="S550" s="26"/>
      <c r="T550" s="26"/>
      <c r="U550" s="26"/>
      <c r="V550" s="26"/>
      <c r="W550" s="26"/>
      <c r="X550" s="26"/>
      <c r="Y550" s="26"/>
      <c r="AQ550" s="3"/>
    </row>
    <row r="551" spans="5:43" x14ac:dyDescent="0.35">
      <c r="E551" s="352"/>
      <c r="F551" s="2" t="s">
        <v>983</v>
      </c>
      <c r="G551" t="s">
        <v>251</v>
      </c>
      <c r="J551" s="131">
        <f>J62</f>
        <v>0</v>
      </c>
      <c r="K551" s="131">
        <f t="shared" ref="K551:Y551" si="171">K62</f>
        <v>0</v>
      </c>
      <c r="L551" s="131">
        <f t="shared" si="171"/>
        <v>0</v>
      </c>
      <c r="M551" s="131">
        <f t="shared" si="171"/>
        <v>0</v>
      </c>
      <c r="N551" s="131">
        <f t="shared" si="171"/>
        <v>0</v>
      </c>
      <c r="O551" s="131">
        <f t="shared" si="171"/>
        <v>0</v>
      </c>
      <c r="P551" s="131">
        <f t="shared" si="171"/>
        <v>0</v>
      </c>
      <c r="Q551" s="131">
        <f t="shared" si="171"/>
        <v>0</v>
      </c>
      <c r="R551" s="131">
        <f t="shared" si="171"/>
        <v>0</v>
      </c>
      <c r="S551" s="131">
        <f t="shared" si="171"/>
        <v>0</v>
      </c>
      <c r="T551" s="131">
        <f t="shared" si="171"/>
        <v>0</v>
      </c>
      <c r="U551" s="131">
        <f t="shared" si="171"/>
        <v>0</v>
      </c>
      <c r="V551" s="131">
        <f t="shared" si="171"/>
        <v>0</v>
      </c>
      <c r="W551" s="131">
        <f t="shared" si="171"/>
        <v>0</v>
      </c>
      <c r="X551" s="131">
        <f t="shared" si="171"/>
        <v>0</v>
      </c>
      <c r="Y551" s="131">
        <f t="shared" si="171"/>
        <v>0</v>
      </c>
      <c r="AQ551" s="3"/>
    </row>
    <row r="552" spans="5:43" x14ac:dyDescent="0.35">
      <c r="E552" s="352"/>
      <c r="F552" s="2" t="s">
        <v>984</v>
      </c>
      <c r="G552" t="s">
        <v>251</v>
      </c>
      <c r="J552" s="364">
        <f>J71</f>
        <v>0</v>
      </c>
      <c r="K552" s="364">
        <f t="shared" ref="K552:Y552" si="172">K71</f>
        <v>0</v>
      </c>
      <c r="L552" s="364">
        <f t="shared" si="172"/>
        <v>0</v>
      </c>
      <c r="M552" s="364">
        <f t="shared" si="172"/>
        <v>0</v>
      </c>
      <c r="N552" s="364">
        <f t="shared" si="172"/>
        <v>178923.90872332305</v>
      </c>
      <c r="O552" s="364">
        <f t="shared" si="172"/>
        <v>2459.3578134546037</v>
      </c>
      <c r="P552" s="364">
        <f t="shared" si="172"/>
        <v>36447.354161456627</v>
      </c>
      <c r="Q552" s="364">
        <f t="shared" si="172"/>
        <v>0</v>
      </c>
      <c r="R552" s="364">
        <f t="shared" si="172"/>
        <v>0</v>
      </c>
      <c r="S552" s="364">
        <f t="shared" si="172"/>
        <v>0</v>
      </c>
      <c r="T552" s="364">
        <f t="shared" si="172"/>
        <v>0</v>
      </c>
      <c r="U552" s="364">
        <f t="shared" si="172"/>
        <v>0</v>
      </c>
      <c r="V552" s="364">
        <f t="shared" si="172"/>
        <v>0</v>
      </c>
      <c r="W552" s="364">
        <f t="shared" si="172"/>
        <v>0</v>
      </c>
      <c r="X552" s="364">
        <f t="shared" si="172"/>
        <v>0</v>
      </c>
      <c r="Y552" s="364">
        <f t="shared" si="172"/>
        <v>0</v>
      </c>
      <c r="AQ552" s="3"/>
    </row>
    <row r="553" spans="5:43" x14ac:dyDescent="0.35">
      <c r="E553" s="352"/>
      <c r="F553" s="2" t="s">
        <v>985</v>
      </c>
      <c r="G553" t="s">
        <v>251</v>
      </c>
      <c r="J553" s="364">
        <f>J80</f>
        <v>0</v>
      </c>
      <c r="K553" s="364">
        <f t="shared" ref="K553:Y553" si="173">K80</f>
        <v>0</v>
      </c>
      <c r="L553" s="364">
        <f t="shared" si="173"/>
        <v>0</v>
      </c>
      <c r="M553" s="364">
        <f t="shared" si="173"/>
        <v>0</v>
      </c>
      <c r="N553" s="364">
        <f t="shared" si="173"/>
        <v>183819.45431859934</v>
      </c>
      <c r="O553" s="364">
        <f t="shared" si="173"/>
        <v>1508.4695537947794</v>
      </c>
      <c r="P553" s="364">
        <f t="shared" si="173"/>
        <v>101343.90588946964</v>
      </c>
      <c r="Q553" s="364">
        <f t="shared" si="173"/>
        <v>0</v>
      </c>
      <c r="R553" s="364">
        <f t="shared" si="173"/>
        <v>0</v>
      </c>
      <c r="S553" s="364">
        <f t="shared" si="173"/>
        <v>0</v>
      </c>
      <c r="T553" s="364">
        <f t="shared" si="173"/>
        <v>0</v>
      </c>
      <c r="U553" s="364">
        <f t="shared" si="173"/>
        <v>0</v>
      </c>
      <c r="V553" s="364">
        <f t="shared" si="173"/>
        <v>0</v>
      </c>
      <c r="W553" s="364">
        <f t="shared" si="173"/>
        <v>0</v>
      </c>
      <c r="X553" s="364">
        <f t="shared" si="173"/>
        <v>0</v>
      </c>
      <c r="Y553" s="364">
        <f t="shared" si="173"/>
        <v>0</v>
      </c>
      <c r="AQ553" s="3"/>
    </row>
    <row r="554" spans="5:43" x14ac:dyDescent="0.35">
      <c r="E554" s="352"/>
      <c r="F554" s="2" t="s">
        <v>987</v>
      </c>
      <c r="G554" t="s">
        <v>251</v>
      </c>
      <c r="J554" s="101">
        <f>J89</f>
        <v>0</v>
      </c>
      <c r="K554" s="101">
        <f t="shared" ref="K554:Y554" si="174">K89</f>
        <v>0</v>
      </c>
      <c r="L554" s="101">
        <f t="shared" si="174"/>
        <v>0</v>
      </c>
      <c r="M554" s="101">
        <f t="shared" si="174"/>
        <v>0</v>
      </c>
      <c r="N554" s="101">
        <f t="shared" si="174"/>
        <v>138987.856201886</v>
      </c>
      <c r="O554" s="101">
        <f t="shared" si="174"/>
        <v>4469.0411793731455</v>
      </c>
      <c r="P554" s="101">
        <f t="shared" si="174"/>
        <v>84852.206190239158</v>
      </c>
      <c r="Q554" s="101">
        <f t="shared" si="174"/>
        <v>0</v>
      </c>
      <c r="R554" s="101">
        <f t="shared" si="174"/>
        <v>0</v>
      </c>
      <c r="S554" s="101">
        <f t="shared" si="174"/>
        <v>0</v>
      </c>
      <c r="T554" s="101">
        <f t="shared" si="174"/>
        <v>0</v>
      </c>
      <c r="U554" s="101">
        <f t="shared" si="174"/>
        <v>0</v>
      </c>
      <c r="V554" s="101">
        <f t="shared" si="174"/>
        <v>0</v>
      </c>
      <c r="W554" s="101">
        <f t="shared" si="174"/>
        <v>0</v>
      </c>
      <c r="X554" s="101">
        <f t="shared" si="174"/>
        <v>0</v>
      </c>
      <c r="Y554" s="101">
        <f t="shared" si="174"/>
        <v>0</v>
      </c>
      <c r="AQ554" s="3"/>
    </row>
    <row r="555" spans="5:43" x14ac:dyDescent="0.35">
      <c r="E555" s="352"/>
      <c r="F555" s="2" t="s">
        <v>986</v>
      </c>
      <c r="G555" t="s">
        <v>251</v>
      </c>
      <c r="J555" s="101">
        <f>J98</f>
        <v>0</v>
      </c>
      <c r="K555" s="101">
        <f t="shared" ref="K555:Y555" si="175">K98</f>
        <v>0</v>
      </c>
      <c r="L555" s="101">
        <f t="shared" si="175"/>
        <v>0</v>
      </c>
      <c r="M555" s="101">
        <f t="shared" si="175"/>
        <v>0</v>
      </c>
      <c r="N555" s="101">
        <f t="shared" si="175"/>
        <v>378315.23858967365</v>
      </c>
      <c r="O555" s="101">
        <f t="shared" si="175"/>
        <v>34903.735098746998</v>
      </c>
      <c r="P555" s="101">
        <f t="shared" si="175"/>
        <v>170279.53375883441</v>
      </c>
      <c r="Q555" s="101">
        <f t="shared" si="175"/>
        <v>0</v>
      </c>
      <c r="R555" s="101">
        <f t="shared" si="175"/>
        <v>0</v>
      </c>
      <c r="S555" s="101">
        <f t="shared" si="175"/>
        <v>0</v>
      </c>
      <c r="T555" s="101">
        <f t="shared" si="175"/>
        <v>0</v>
      </c>
      <c r="U555" s="101">
        <f t="shared" si="175"/>
        <v>0</v>
      </c>
      <c r="V555" s="101">
        <f t="shared" si="175"/>
        <v>0</v>
      </c>
      <c r="W555" s="101">
        <f t="shared" si="175"/>
        <v>0</v>
      </c>
      <c r="X555" s="101">
        <f t="shared" si="175"/>
        <v>0</v>
      </c>
      <c r="Y555" s="101">
        <f t="shared" si="175"/>
        <v>0</v>
      </c>
      <c r="AQ555" s="3"/>
    </row>
    <row r="556" spans="5:43" x14ac:dyDescent="0.35">
      <c r="E556" s="72" t="s">
        <v>252</v>
      </c>
      <c r="F556" s="2"/>
      <c r="J556" s="26"/>
      <c r="K556" s="26"/>
      <c r="L556" s="26"/>
      <c r="M556" s="26"/>
      <c r="N556" s="26"/>
      <c r="O556" s="26"/>
      <c r="P556" s="26"/>
      <c r="Q556" s="26"/>
      <c r="R556" s="26"/>
      <c r="S556" s="26"/>
      <c r="T556" s="26"/>
      <c r="U556" s="26"/>
      <c r="V556" s="26"/>
      <c r="W556" s="26"/>
      <c r="X556" s="26"/>
      <c r="Y556" s="26"/>
      <c r="AQ556" s="3"/>
    </row>
    <row r="557" spans="5:43" x14ac:dyDescent="0.35">
      <c r="E557" s="352"/>
      <c r="F557" s="2" t="s">
        <v>983</v>
      </c>
      <c r="G557" t="s">
        <v>251</v>
      </c>
      <c r="J557" s="131">
        <f>J63</f>
        <v>0</v>
      </c>
      <c r="K557" s="131">
        <f t="shared" ref="K557:Y557" si="176">K63</f>
        <v>0</v>
      </c>
      <c r="L557" s="131">
        <f t="shared" si="176"/>
        <v>0</v>
      </c>
      <c r="M557" s="131">
        <f t="shared" si="176"/>
        <v>0</v>
      </c>
      <c r="N557" s="131">
        <f t="shared" si="176"/>
        <v>0</v>
      </c>
      <c r="O557" s="131">
        <f t="shared" si="176"/>
        <v>0</v>
      </c>
      <c r="P557" s="131">
        <f t="shared" si="176"/>
        <v>0</v>
      </c>
      <c r="Q557" s="131">
        <f t="shared" si="176"/>
        <v>0</v>
      </c>
      <c r="R557" s="131">
        <f t="shared" si="176"/>
        <v>0</v>
      </c>
      <c r="S557" s="131">
        <f t="shared" si="176"/>
        <v>0</v>
      </c>
      <c r="T557" s="131">
        <f t="shared" si="176"/>
        <v>0</v>
      </c>
      <c r="U557" s="131">
        <f t="shared" si="176"/>
        <v>0</v>
      </c>
      <c r="V557" s="131">
        <f t="shared" si="176"/>
        <v>0</v>
      </c>
      <c r="W557" s="131">
        <f t="shared" si="176"/>
        <v>0</v>
      </c>
      <c r="X557" s="131">
        <f t="shared" si="176"/>
        <v>0</v>
      </c>
      <c r="Y557" s="131">
        <f t="shared" si="176"/>
        <v>0</v>
      </c>
      <c r="AQ557" s="3"/>
    </row>
    <row r="558" spans="5:43" x14ac:dyDescent="0.35">
      <c r="E558" s="352"/>
      <c r="F558" s="2" t="s">
        <v>984</v>
      </c>
      <c r="G558" t="s">
        <v>251</v>
      </c>
      <c r="J558" s="364">
        <f>J72</f>
        <v>0</v>
      </c>
      <c r="K558" s="364">
        <f t="shared" ref="K558:Y558" si="177">K72</f>
        <v>0</v>
      </c>
      <c r="L558" s="364">
        <f t="shared" si="177"/>
        <v>0</v>
      </c>
      <c r="M558" s="364">
        <f t="shared" si="177"/>
        <v>0</v>
      </c>
      <c r="N558" s="364">
        <f t="shared" si="177"/>
        <v>3635.7650764734904</v>
      </c>
      <c r="O558" s="364">
        <f t="shared" si="177"/>
        <v>74.370999092084375</v>
      </c>
      <c r="P558" s="364">
        <f t="shared" si="177"/>
        <v>958.76253773084238</v>
      </c>
      <c r="Q558" s="364">
        <f t="shared" si="177"/>
        <v>0</v>
      </c>
      <c r="R558" s="364">
        <f t="shared" si="177"/>
        <v>0</v>
      </c>
      <c r="S558" s="364">
        <f t="shared" si="177"/>
        <v>0</v>
      </c>
      <c r="T558" s="364">
        <f t="shared" si="177"/>
        <v>0</v>
      </c>
      <c r="U558" s="364">
        <f t="shared" si="177"/>
        <v>0</v>
      </c>
      <c r="V558" s="364">
        <f t="shared" si="177"/>
        <v>0</v>
      </c>
      <c r="W558" s="364">
        <f t="shared" si="177"/>
        <v>0</v>
      </c>
      <c r="X558" s="364">
        <f t="shared" si="177"/>
        <v>0</v>
      </c>
      <c r="Y558" s="364">
        <f t="shared" si="177"/>
        <v>0</v>
      </c>
      <c r="AQ558" s="3"/>
    </row>
    <row r="559" spans="5:43" x14ac:dyDescent="0.35">
      <c r="E559" s="352"/>
      <c r="F559" s="2" t="s">
        <v>985</v>
      </c>
      <c r="G559" t="s">
        <v>251</v>
      </c>
      <c r="J559" s="364">
        <f>J81</f>
        <v>0</v>
      </c>
      <c r="K559" s="364">
        <f t="shared" ref="K559:Y559" si="178">K81</f>
        <v>0</v>
      </c>
      <c r="L559" s="364">
        <f t="shared" si="178"/>
        <v>0</v>
      </c>
      <c r="M559" s="364">
        <f t="shared" si="178"/>
        <v>0</v>
      </c>
      <c r="N559" s="364">
        <f t="shared" si="178"/>
        <v>3735.2434180355035</v>
      </c>
      <c r="O559" s="364">
        <f t="shared" si="178"/>
        <v>45.616130846012524</v>
      </c>
      <c r="P559" s="364">
        <f t="shared" si="178"/>
        <v>2665.892837206166</v>
      </c>
      <c r="Q559" s="364">
        <f t="shared" si="178"/>
        <v>0</v>
      </c>
      <c r="R559" s="364">
        <f t="shared" si="178"/>
        <v>0</v>
      </c>
      <c r="S559" s="364">
        <f t="shared" si="178"/>
        <v>0</v>
      </c>
      <c r="T559" s="364">
        <f t="shared" si="178"/>
        <v>0</v>
      </c>
      <c r="U559" s="364">
        <f t="shared" si="178"/>
        <v>0</v>
      </c>
      <c r="V559" s="364">
        <f t="shared" si="178"/>
        <v>0</v>
      </c>
      <c r="W559" s="364">
        <f t="shared" si="178"/>
        <v>0</v>
      </c>
      <c r="X559" s="364">
        <f t="shared" si="178"/>
        <v>0</v>
      </c>
      <c r="Y559" s="364">
        <f t="shared" si="178"/>
        <v>0</v>
      </c>
      <c r="AQ559" s="3"/>
    </row>
    <row r="560" spans="5:43" x14ac:dyDescent="0.35">
      <c r="E560" s="352"/>
      <c r="F560" s="2" t="s">
        <v>987</v>
      </c>
      <c r="G560" t="s">
        <v>251</v>
      </c>
      <c r="J560" s="101">
        <f>J90</f>
        <v>0</v>
      </c>
      <c r="K560" s="101">
        <f t="shared" ref="K560:Y560" si="179">K90</f>
        <v>0</v>
      </c>
      <c r="L560" s="101">
        <f t="shared" si="179"/>
        <v>0</v>
      </c>
      <c r="M560" s="101">
        <f t="shared" si="179"/>
        <v>0</v>
      </c>
      <c r="N560" s="101">
        <f t="shared" si="179"/>
        <v>2824.2575139253381</v>
      </c>
      <c r="O560" s="101">
        <f t="shared" si="179"/>
        <v>135.14383945082781</v>
      </c>
      <c r="P560" s="101">
        <f t="shared" si="179"/>
        <v>2232.0719407678152</v>
      </c>
      <c r="Q560" s="101">
        <f t="shared" si="179"/>
        <v>0</v>
      </c>
      <c r="R560" s="101">
        <f t="shared" si="179"/>
        <v>0</v>
      </c>
      <c r="S560" s="101">
        <f t="shared" si="179"/>
        <v>0</v>
      </c>
      <c r="T560" s="101">
        <f t="shared" si="179"/>
        <v>0</v>
      </c>
      <c r="U560" s="101">
        <f t="shared" si="179"/>
        <v>0</v>
      </c>
      <c r="V560" s="101">
        <f t="shared" si="179"/>
        <v>0</v>
      </c>
      <c r="W560" s="101">
        <f t="shared" si="179"/>
        <v>0</v>
      </c>
      <c r="X560" s="101">
        <f t="shared" si="179"/>
        <v>0</v>
      </c>
      <c r="Y560" s="101">
        <f t="shared" si="179"/>
        <v>0</v>
      </c>
      <c r="AQ560" s="3"/>
    </row>
    <row r="561" spans="4:43" x14ac:dyDescent="0.35">
      <c r="E561" s="352"/>
      <c r="F561" s="2" t="s">
        <v>986</v>
      </c>
      <c r="G561" t="s">
        <v>251</v>
      </c>
      <c r="J561" s="101">
        <f>J99</f>
        <v>0</v>
      </c>
      <c r="K561" s="101">
        <f t="shared" ref="K561:Y561" si="180">K99</f>
        <v>0</v>
      </c>
      <c r="L561" s="101">
        <f t="shared" si="180"/>
        <v>0</v>
      </c>
      <c r="M561" s="101">
        <f t="shared" si="180"/>
        <v>0</v>
      </c>
      <c r="N561" s="101">
        <f t="shared" si="180"/>
        <v>7687.4317254549078</v>
      </c>
      <c r="O561" s="101">
        <f t="shared" si="180"/>
        <v>1055.489216387334</v>
      </c>
      <c r="P561" s="101">
        <f t="shared" si="180"/>
        <v>4479.2726842951743</v>
      </c>
      <c r="Q561" s="101">
        <f t="shared" si="180"/>
        <v>0</v>
      </c>
      <c r="R561" s="101">
        <f t="shared" si="180"/>
        <v>0</v>
      </c>
      <c r="S561" s="101">
        <f t="shared" si="180"/>
        <v>0</v>
      </c>
      <c r="T561" s="101">
        <f t="shared" si="180"/>
        <v>0</v>
      </c>
      <c r="U561" s="101">
        <f t="shared" si="180"/>
        <v>0</v>
      </c>
      <c r="V561" s="101">
        <f t="shared" si="180"/>
        <v>0</v>
      </c>
      <c r="W561" s="101">
        <f t="shared" si="180"/>
        <v>0</v>
      </c>
      <c r="X561" s="101">
        <f t="shared" si="180"/>
        <v>0</v>
      </c>
      <c r="Y561" s="101">
        <f t="shared" si="180"/>
        <v>0</v>
      </c>
      <c r="AQ561" s="3"/>
    </row>
    <row r="562" spans="4:43" x14ac:dyDescent="0.35">
      <c r="E562" s="352" t="s">
        <v>253</v>
      </c>
      <c r="F562" s="353"/>
      <c r="J562" s="26"/>
      <c r="K562" s="26"/>
      <c r="L562" s="26"/>
      <c r="M562" s="26"/>
      <c r="N562" s="26"/>
      <c r="O562" s="26"/>
      <c r="P562" s="26"/>
      <c r="Q562" s="26"/>
      <c r="R562" s="26"/>
      <c r="S562" s="26"/>
      <c r="T562" s="26"/>
      <c r="U562" s="26"/>
      <c r="V562" s="26"/>
      <c r="W562" s="26"/>
      <c r="X562" s="26"/>
      <c r="Y562" s="26"/>
      <c r="AQ562" s="3"/>
    </row>
    <row r="563" spans="4:43" x14ac:dyDescent="0.35">
      <c r="E563" s="352"/>
      <c r="F563" s="353" t="s">
        <v>983</v>
      </c>
      <c r="G563" t="s">
        <v>254</v>
      </c>
      <c r="J563" s="131">
        <f>J64</f>
        <v>0</v>
      </c>
      <c r="K563" s="131">
        <f t="shared" ref="K563:Y563" si="181">K64</f>
        <v>0</v>
      </c>
      <c r="L563" s="131">
        <f t="shared" si="181"/>
        <v>0</v>
      </c>
      <c r="M563" s="131">
        <f t="shared" si="181"/>
        <v>0</v>
      </c>
      <c r="N563" s="131">
        <f t="shared" si="181"/>
        <v>0</v>
      </c>
      <c r="O563" s="131">
        <f t="shared" si="181"/>
        <v>0</v>
      </c>
      <c r="P563" s="131">
        <f t="shared" si="181"/>
        <v>0</v>
      </c>
      <c r="Q563" s="131">
        <f t="shared" si="181"/>
        <v>0</v>
      </c>
      <c r="R563" s="131">
        <f t="shared" si="181"/>
        <v>0</v>
      </c>
      <c r="S563" s="131">
        <f t="shared" si="181"/>
        <v>0</v>
      </c>
      <c r="T563" s="131">
        <f t="shared" si="181"/>
        <v>12161.310051003624</v>
      </c>
      <c r="U563" s="131">
        <f t="shared" si="181"/>
        <v>0</v>
      </c>
      <c r="V563" s="131">
        <f t="shared" si="181"/>
        <v>0</v>
      </c>
      <c r="W563" s="131">
        <f t="shared" si="181"/>
        <v>0</v>
      </c>
      <c r="X563" s="131">
        <f t="shared" si="181"/>
        <v>36125.02323166062</v>
      </c>
      <c r="Y563" s="131">
        <f t="shared" si="181"/>
        <v>0</v>
      </c>
      <c r="AQ563" s="3"/>
    </row>
    <row r="564" spans="4:43" x14ac:dyDescent="0.35">
      <c r="E564" s="352"/>
      <c r="F564" s="353" t="s">
        <v>984</v>
      </c>
      <c r="G564" t="s">
        <v>254</v>
      </c>
      <c r="J564" s="364">
        <f>J73</f>
        <v>0</v>
      </c>
      <c r="K564" s="364">
        <f t="shared" ref="K564:Y564" si="182">K73</f>
        <v>0</v>
      </c>
      <c r="L564" s="364">
        <f t="shared" si="182"/>
        <v>0</v>
      </c>
      <c r="M564" s="364">
        <f t="shared" si="182"/>
        <v>0</v>
      </c>
      <c r="N564" s="364">
        <f t="shared" si="182"/>
        <v>33391.216316336562</v>
      </c>
      <c r="O564" s="364">
        <f t="shared" si="182"/>
        <v>502.18789439440997</v>
      </c>
      <c r="P564" s="364">
        <f t="shared" si="182"/>
        <v>12541.854171679766</v>
      </c>
      <c r="Q564" s="364">
        <f t="shared" si="182"/>
        <v>0</v>
      </c>
      <c r="R564" s="364">
        <f t="shared" si="182"/>
        <v>0</v>
      </c>
      <c r="S564" s="364">
        <f t="shared" si="182"/>
        <v>0</v>
      </c>
      <c r="T564" s="364">
        <f t="shared" si="182"/>
        <v>0</v>
      </c>
      <c r="U564" s="364">
        <f t="shared" si="182"/>
        <v>0</v>
      </c>
      <c r="V564" s="364">
        <f t="shared" si="182"/>
        <v>0</v>
      </c>
      <c r="W564" s="364">
        <f t="shared" si="182"/>
        <v>0</v>
      </c>
      <c r="X564" s="364">
        <f t="shared" si="182"/>
        <v>0</v>
      </c>
      <c r="Y564" s="364">
        <f t="shared" si="182"/>
        <v>0</v>
      </c>
      <c r="AQ564" s="3"/>
    </row>
    <row r="565" spans="4:43" x14ac:dyDescent="0.35">
      <c r="E565" s="352"/>
      <c r="F565" s="353" t="s">
        <v>985</v>
      </c>
      <c r="G565" t="s">
        <v>254</v>
      </c>
      <c r="J565" s="364">
        <f>J82</f>
        <v>0</v>
      </c>
      <c r="K565" s="364">
        <f t="shared" ref="K565:Y565" si="183">K82</f>
        <v>0</v>
      </c>
      <c r="L565" s="364">
        <f t="shared" si="183"/>
        <v>0</v>
      </c>
      <c r="M565" s="364">
        <f t="shared" si="183"/>
        <v>0</v>
      </c>
      <c r="N565" s="364">
        <f t="shared" si="183"/>
        <v>34304.834977614169</v>
      </c>
      <c r="O565" s="364">
        <f t="shared" si="183"/>
        <v>308.02152693437603</v>
      </c>
      <c r="P565" s="364">
        <f t="shared" si="183"/>
        <v>34873.326695365504</v>
      </c>
      <c r="Q565" s="364">
        <f t="shared" si="183"/>
        <v>0</v>
      </c>
      <c r="R565" s="364">
        <f t="shared" si="183"/>
        <v>0</v>
      </c>
      <c r="S565" s="364">
        <f t="shared" si="183"/>
        <v>0</v>
      </c>
      <c r="T565" s="364">
        <f t="shared" si="183"/>
        <v>0</v>
      </c>
      <c r="U565" s="364">
        <f t="shared" si="183"/>
        <v>0</v>
      </c>
      <c r="V565" s="364">
        <f t="shared" si="183"/>
        <v>0</v>
      </c>
      <c r="W565" s="364">
        <f t="shared" si="183"/>
        <v>0</v>
      </c>
      <c r="X565" s="364">
        <f t="shared" si="183"/>
        <v>0</v>
      </c>
      <c r="Y565" s="364">
        <f t="shared" si="183"/>
        <v>0</v>
      </c>
      <c r="AQ565" s="3"/>
    </row>
    <row r="566" spans="4:43" x14ac:dyDescent="0.35">
      <c r="E566" s="352"/>
      <c r="F566" s="353" t="s">
        <v>987</v>
      </c>
      <c r="G566" t="s">
        <v>254</v>
      </c>
      <c r="J566" s="101">
        <f>J91</f>
        <v>0</v>
      </c>
      <c r="K566" s="101">
        <f t="shared" ref="K566:Y566" si="184">K91</f>
        <v>0</v>
      </c>
      <c r="L566" s="101">
        <f t="shared" si="184"/>
        <v>0</v>
      </c>
      <c r="M566" s="101">
        <f t="shared" si="184"/>
        <v>0</v>
      </c>
      <c r="N566" s="101">
        <f t="shared" si="184"/>
        <v>25938.252774018991</v>
      </c>
      <c r="O566" s="101">
        <f t="shared" si="184"/>
        <v>912.55463826908363</v>
      </c>
      <c r="P566" s="101">
        <f t="shared" si="184"/>
        <v>29198.388214107654</v>
      </c>
      <c r="Q566" s="101">
        <f t="shared" si="184"/>
        <v>0</v>
      </c>
      <c r="R566" s="101">
        <f t="shared" si="184"/>
        <v>0</v>
      </c>
      <c r="S566" s="101">
        <f t="shared" si="184"/>
        <v>0</v>
      </c>
      <c r="T566" s="101">
        <f t="shared" si="184"/>
        <v>0</v>
      </c>
      <c r="U566" s="101">
        <f t="shared" si="184"/>
        <v>0</v>
      </c>
      <c r="V566" s="101">
        <f t="shared" si="184"/>
        <v>0</v>
      </c>
      <c r="W566" s="101">
        <f t="shared" si="184"/>
        <v>0</v>
      </c>
      <c r="X566" s="101">
        <f t="shared" si="184"/>
        <v>0</v>
      </c>
      <c r="Y566" s="101">
        <f t="shared" si="184"/>
        <v>0</v>
      </c>
      <c r="AQ566" s="3"/>
    </row>
    <row r="567" spans="4:43" x14ac:dyDescent="0.35">
      <c r="E567" s="80"/>
      <c r="F567" s="354" t="s">
        <v>986</v>
      </c>
      <c r="G567" s="37" t="s">
        <v>254</v>
      </c>
      <c r="H567" s="37"/>
      <c r="I567" s="37"/>
      <c r="J567" s="364">
        <f>J100</f>
        <v>0</v>
      </c>
      <c r="K567" s="364">
        <f t="shared" ref="K567:Y567" si="185">K100</f>
        <v>0</v>
      </c>
      <c r="L567" s="364">
        <f t="shared" si="185"/>
        <v>0</v>
      </c>
      <c r="M567" s="364">
        <f t="shared" si="185"/>
        <v>0</v>
      </c>
      <c r="N567" s="364">
        <f t="shared" si="185"/>
        <v>70602.112695001808</v>
      </c>
      <c r="O567" s="364">
        <f t="shared" si="185"/>
        <v>7127.1586183380568</v>
      </c>
      <c r="P567" s="364">
        <f t="shared" si="185"/>
        <v>58594.680737713454</v>
      </c>
      <c r="Q567" s="364">
        <f t="shared" si="185"/>
        <v>0</v>
      </c>
      <c r="R567" s="364">
        <f t="shared" si="185"/>
        <v>0</v>
      </c>
      <c r="S567" s="364">
        <f t="shared" si="185"/>
        <v>0</v>
      </c>
      <c r="T567" s="364">
        <f t="shared" si="185"/>
        <v>0</v>
      </c>
      <c r="U567" s="364">
        <f t="shared" si="185"/>
        <v>0</v>
      </c>
      <c r="V567" s="364">
        <f t="shared" si="185"/>
        <v>0</v>
      </c>
      <c r="W567" s="364">
        <f t="shared" si="185"/>
        <v>0</v>
      </c>
      <c r="X567" s="364">
        <f t="shared" si="185"/>
        <v>0</v>
      </c>
      <c r="Y567" s="364">
        <f t="shared" si="185"/>
        <v>0</v>
      </c>
      <c r="AQ567" s="3"/>
    </row>
    <row r="568" spans="4:43" x14ac:dyDescent="0.35">
      <c r="AQ568" s="3"/>
    </row>
    <row r="569" spans="4:43" x14ac:dyDescent="0.35">
      <c r="D569" s="32" t="s">
        <v>1136</v>
      </c>
      <c r="AQ569" s="3"/>
    </row>
    <row r="570" spans="4:43" x14ac:dyDescent="0.35">
      <c r="E570" s="78" t="s">
        <v>247</v>
      </c>
      <c r="F570" s="23"/>
      <c r="G570" s="23"/>
      <c r="H570" s="23"/>
      <c r="I570" s="23"/>
      <c r="J570" s="23"/>
      <c r="K570" s="23"/>
      <c r="L570" s="23"/>
      <c r="M570" s="23"/>
      <c r="N570" s="23"/>
      <c r="O570" s="23"/>
      <c r="P570" s="23"/>
      <c r="Q570" s="23"/>
      <c r="R570" s="23"/>
      <c r="S570" s="23"/>
      <c r="T570" s="23"/>
      <c r="U570" s="23"/>
      <c r="V570" s="23"/>
      <c r="W570" s="23"/>
      <c r="X570" s="23"/>
      <c r="Y570" s="23"/>
      <c r="AQ570" s="3"/>
    </row>
    <row r="571" spans="4:43" x14ac:dyDescent="0.35">
      <c r="E571" s="352"/>
      <c r="F571" s="2" t="s">
        <v>983</v>
      </c>
      <c r="G571" t="s">
        <v>207</v>
      </c>
      <c r="J571" s="131">
        <f>J105</f>
        <v>0</v>
      </c>
      <c r="K571" s="131">
        <f t="shared" ref="K571:Y571" si="186">K105</f>
        <v>0</v>
      </c>
      <c r="L571" s="131">
        <f t="shared" si="186"/>
        <v>0</v>
      </c>
      <c r="M571" s="131">
        <f t="shared" si="186"/>
        <v>0</v>
      </c>
      <c r="N571" s="131">
        <f t="shared" si="186"/>
        <v>0</v>
      </c>
      <c r="O571" s="131">
        <f t="shared" si="186"/>
        <v>0</v>
      </c>
      <c r="P571" s="131">
        <f t="shared" si="186"/>
        <v>0</v>
      </c>
      <c r="Q571" s="131">
        <f t="shared" si="186"/>
        <v>0</v>
      </c>
      <c r="R571" s="131">
        <f t="shared" si="186"/>
        <v>0</v>
      </c>
      <c r="S571" s="131">
        <f t="shared" si="186"/>
        <v>0</v>
      </c>
      <c r="T571" s="131">
        <f t="shared" si="186"/>
        <v>0</v>
      </c>
      <c r="U571" s="131">
        <f t="shared" si="186"/>
        <v>0</v>
      </c>
      <c r="V571" s="131">
        <f t="shared" si="186"/>
        <v>0</v>
      </c>
      <c r="W571" s="131">
        <f t="shared" si="186"/>
        <v>0</v>
      </c>
      <c r="X571" s="131">
        <f t="shared" si="186"/>
        <v>0</v>
      </c>
      <c r="Y571" s="131">
        <f t="shared" si="186"/>
        <v>0</v>
      </c>
      <c r="AQ571" s="3"/>
    </row>
    <row r="572" spans="4:43" x14ac:dyDescent="0.35">
      <c r="E572" s="352"/>
      <c r="F572" s="2" t="s">
        <v>984</v>
      </c>
      <c r="G572" t="s">
        <v>207</v>
      </c>
      <c r="J572" s="364">
        <f>J114</f>
        <v>1256.8602110655297</v>
      </c>
      <c r="K572" s="364">
        <f t="shared" ref="K572:Y572" si="187">K114</f>
        <v>0</v>
      </c>
      <c r="L572" s="364">
        <f t="shared" si="187"/>
        <v>0.51035831735977999</v>
      </c>
      <c r="M572" s="364">
        <f t="shared" si="187"/>
        <v>0</v>
      </c>
      <c r="N572" s="364">
        <f t="shared" si="187"/>
        <v>44.577434832967171</v>
      </c>
      <c r="O572" s="364">
        <f t="shared" si="187"/>
        <v>0</v>
      </c>
      <c r="P572" s="364">
        <f t="shared" si="187"/>
        <v>0</v>
      </c>
      <c r="Q572" s="364">
        <f t="shared" si="187"/>
        <v>4.4156000000000057</v>
      </c>
      <c r="R572" s="364">
        <f t="shared" si="187"/>
        <v>0</v>
      </c>
      <c r="S572" s="364">
        <f t="shared" si="187"/>
        <v>0</v>
      </c>
      <c r="T572" s="364">
        <f t="shared" si="187"/>
        <v>0</v>
      </c>
      <c r="U572" s="364">
        <f t="shared" si="187"/>
        <v>0</v>
      </c>
      <c r="V572" s="364">
        <f t="shared" si="187"/>
        <v>0</v>
      </c>
      <c r="W572" s="364">
        <f t="shared" si="187"/>
        <v>0</v>
      </c>
      <c r="X572" s="364">
        <f t="shared" si="187"/>
        <v>0</v>
      </c>
      <c r="Y572" s="364">
        <f t="shared" si="187"/>
        <v>0</v>
      </c>
      <c r="AQ572" s="3"/>
    </row>
    <row r="573" spans="4:43" x14ac:dyDescent="0.35">
      <c r="E573" s="352"/>
      <c r="F573" s="2" t="s">
        <v>985</v>
      </c>
      <c r="G573" t="s">
        <v>207</v>
      </c>
      <c r="J573" s="364">
        <f>J123</f>
        <v>0</v>
      </c>
      <c r="K573" s="364">
        <f t="shared" ref="K573:Y573" si="188">K123</f>
        <v>0</v>
      </c>
      <c r="L573" s="364">
        <f t="shared" si="188"/>
        <v>2.4498207867287287</v>
      </c>
      <c r="M573" s="364">
        <f t="shared" si="188"/>
        <v>0</v>
      </c>
      <c r="N573" s="364">
        <f t="shared" si="188"/>
        <v>45.797120152287505</v>
      </c>
      <c r="O573" s="364">
        <f t="shared" si="188"/>
        <v>0</v>
      </c>
      <c r="P573" s="364">
        <f t="shared" si="188"/>
        <v>0</v>
      </c>
      <c r="Q573" s="364">
        <f t="shared" si="188"/>
        <v>0</v>
      </c>
      <c r="R573" s="364">
        <f t="shared" si="188"/>
        <v>0</v>
      </c>
      <c r="S573" s="364">
        <f t="shared" si="188"/>
        <v>0</v>
      </c>
      <c r="T573" s="364">
        <f t="shared" si="188"/>
        <v>0</v>
      </c>
      <c r="U573" s="364">
        <f t="shared" si="188"/>
        <v>0</v>
      </c>
      <c r="V573" s="364">
        <f t="shared" si="188"/>
        <v>0</v>
      </c>
      <c r="W573" s="364">
        <f t="shared" si="188"/>
        <v>0</v>
      </c>
      <c r="X573" s="364">
        <f t="shared" si="188"/>
        <v>0</v>
      </c>
      <c r="Y573" s="364">
        <f t="shared" si="188"/>
        <v>0</v>
      </c>
      <c r="AQ573" s="3"/>
    </row>
    <row r="574" spans="4:43" x14ac:dyDescent="0.35">
      <c r="E574" s="352"/>
      <c r="F574" s="2" t="s">
        <v>987</v>
      </c>
      <c r="G574" t="s">
        <v>207</v>
      </c>
      <c r="J574" s="101">
        <f>J132</f>
        <v>0</v>
      </c>
      <c r="K574" s="101">
        <f t="shared" ref="K574:Y574" si="189">K132</f>
        <v>0</v>
      </c>
      <c r="L574" s="101">
        <f t="shared" si="189"/>
        <v>3.4133968215722494</v>
      </c>
      <c r="M574" s="101">
        <f t="shared" si="189"/>
        <v>0</v>
      </c>
      <c r="N574" s="101">
        <f t="shared" si="189"/>
        <v>34.627692557253873</v>
      </c>
      <c r="O574" s="101">
        <f t="shared" si="189"/>
        <v>0</v>
      </c>
      <c r="P574" s="101">
        <f t="shared" si="189"/>
        <v>0</v>
      </c>
      <c r="Q574" s="101">
        <f t="shared" si="189"/>
        <v>0</v>
      </c>
      <c r="R574" s="101">
        <f t="shared" si="189"/>
        <v>0</v>
      </c>
      <c r="S574" s="101">
        <f t="shared" si="189"/>
        <v>0</v>
      </c>
      <c r="T574" s="101">
        <f t="shared" si="189"/>
        <v>0</v>
      </c>
      <c r="U574" s="101">
        <f t="shared" si="189"/>
        <v>0</v>
      </c>
      <c r="V574" s="101">
        <f t="shared" si="189"/>
        <v>0</v>
      </c>
      <c r="W574" s="101">
        <f t="shared" si="189"/>
        <v>0</v>
      </c>
      <c r="X574" s="101">
        <f t="shared" si="189"/>
        <v>0</v>
      </c>
      <c r="Y574" s="101">
        <f t="shared" si="189"/>
        <v>0</v>
      </c>
      <c r="AQ574" s="3"/>
    </row>
    <row r="575" spans="4:43" x14ac:dyDescent="0.35">
      <c r="E575" s="352"/>
      <c r="F575" s="2" t="s">
        <v>986</v>
      </c>
      <c r="G575" t="s">
        <v>207</v>
      </c>
      <c r="J575" s="101">
        <f>J141</f>
        <v>0</v>
      </c>
      <c r="K575" s="101">
        <f t="shared" ref="K575:Y575" si="190">K141</f>
        <v>0</v>
      </c>
      <c r="L575" s="101">
        <f t="shared" si="190"/>
        <v>9.0335722191863557</v>
      </c>
      <c r="M575" s="101">
        <f t="shared" si="190"/>
        <v>0</v>
      </c>
      <c r="N575" s="101">
        <f t="shared" si="190"/>
        <v>94.254160972011633</v>
      </c>
      <c r="O575" s="101">
        <f t="shared" si="190"/>
        <v>0</v>
      </c>
      <c r="P575" s="101">
        <f t="shared" si="190"/>
        <v>0</v>
      </c>
      <c r="Q575" s="101">
        <f t="shared" si="190"/>
        <v>0</v>
      </c>
      <c r="R575" s="101">
        <f t="shared" si="190"/>
        <v>0</v>
      </c>
      <c r="S575" s="101">
        <f t="shared" si="190"/>
        <v>0</v>
      </c>
      <c r="T575" s="101">
        <f t="shared" si="190"/>
        <v>0</v>
      </c>
      <c r="U575" s="101">
        <f t="shared" si="190"/>
        <v>0</v>
      </c>
      <c r="V575" s="101">
        <f t="shared" si="190"/>
        <v>0</v>
      </c>
      <c r="W575" s="101">
        <f t="shared" si="190"/>
        <v>0</v>
      </c>
      <c r="X575" s="101">
        <f t="shared" si="190"/>
        <v>0</v>
      </c>
      <c r="Y575" s="101">
        <f t="shared" si="190"/>
        <v>0</v>
      </c>
      <c r="AQ575" s="3"/>
    </row>
    <row r="576" spans="4:43" x14ac:dyDescent="0.35">
      <c r="E576" s="72" t="s">
        <v>248</v>
      </c>
      <c r="F576" s="2"/>
      <c r="J576" s="26"/>
      <c r="K576" s="26"/>
      <c r="L576" s="26"/>
      <c r="M576" s="26"/>
      <c r="N576" s="26"/>
      <c r="O576" s="26"/>
      <c r="P576" s="26"/>
      <c r="Q576" s="26"/>
      <c r="R576" s="26"/>
      <c r="S576" s="26"/>
      <c r="T576" s="26"/>
      <c r="U576" s="26"/>
      <c r="V576" s="26"/>
      <c r="W576" s="26"/>
      <c r="X576" s="26"/>
      <c r="Y576" s="26"/>
      <c r="AQ576" s="3"/>
    </row>
    <row r="577" spans="5:43" x14ac:dyDescent="0.35">
      <c r="E577" s="352"/>
      <c r="F577" s="2" t="s">
        <v>983</v>
      </c>
      <c r="G577" t="s">
        <v>207</v>
      </c>
      <c r="J577" s="131">
        <f>J106</f>
        <v>0</v>
      </c>
      <c r="K577" s="131">
        <f t="shared" ref="K577:Y577" si="191">K106</f>
        <v>0</v>
      </c>
      <c r="L577" s="131">
        <f t="shared" si="191"/>
        <v>0</v>
      </c>
      <c r="M577" s="131">
        <f t="shared" si="191"/>
        <v>0</v>
      </c>
      <c r="N577" s="131">
        <f t="shared" si="191"/>
        <v>0</v>
      </c>
      <c r="O577" s="131">
        <f t="shared" si="191"/>
        <v>0</v>
      </c>
      <c r="P577" s="131">
        <f t="shared" si="191"/>
        <v>0</v>
      </c>
      <c r="Q577" s="131">
        <f t="shared" si="191"/>
        <v>0</v>
      </c>
      <c r="R577" s="131">
        <f t="shared" si="191"/>
        <v>0</v>
      </c>
      <c r="S577" s="131">
        <f t="shared" si="191"/>
        <v>0</v>
      </c>
      <c r="T577" s="131">
        <f t="shared" si="191"/>
        <v>0</v>
      </c>
      <c r="U577" s="131">
        <f t="shared" si="191"/>
        <v>0</v>
      </c>
      <c r="V577" s="131">
        <f t="shared" si="191"/>
        <v>0</v>
      </c>
      <c r="W577" s="131">
        <f t="shared" si="191"/>
        <v>0</v>
      </c>
      <c r="X577" s="131">
        <f t="shared" si="191"/>
        <v>0</v>
      </c>
      <c r="Y577" s="131">
        <f t="shared" si="191"/>
        <v>0</v>
      </c>
      <c r="AQ577" s="3"/>
    </row>
    <row r="578" spans="5:43" x14ac:dyDescent="0.35">
      <c r="E578" s="352"/>
      <c r="F578" s="2" t="s">
        <v>984</v>
      </c>
      <c r="G578" t="s">
        <v>207</v>
      </c>
      <c r="J578" s="364">
        <f>J115</f>
        <v>4351.0341653864743</v>
      </c>
      <c r="K578" s="364">
        <f t="shared" ref="K578:Y578" si="192">K115</f>
        <v>0</v>
      </c>
      <c r="L578" s="364">
        <f t="shared" si="192"/>
        <v>2.9862856345890574</v>
      </c>
      <c r="M578" s="364">
        <f t="shared" si="192"/>
        <v>0</v>
      </c>
      <c r="N578" s="364">
        <f t="shared" si="192"/>
        <v>248.48928471097409</v>
      </c>
      <c r="O578" s="364">
        <f t="shared" si="192"/>
        <v>0</v>
      </c>
      <c r="P578" s="364">
        <f t="shared" si="192"/>
        <v>0</v>
      </c>
      <c r="Q578" s="364">
        <f t="shared" si="192"/>
        <v>146.81940000000003</v>
      </c>
      <c r="R578" s="364">
        <f t="shared" si="192"/>
        <v>0</v>
      </c>
      <c r="S578" s="364">
        <f t="shared" si="192"/>
        <v>0</v>
      </c>
      <c r="T578" s="364">
        <f t="shared" si="192"/>
        <v>0</v>
      </c>
      <c r="U578" s="364">
        <f t="shared" si="192"/>
        <v>0</v>
      </c>
      <c r="V578" s="364">
        <f t="shared" si="192"/>
        <v>0</v>
      </c>
      <c r="W578" s="364">
        <f t="shared" si="192"/>
        <v>0</v>
      </c>
      <c r="X578" s="364">
        <f t="shared" si="192"/>
        <v>0</v>
      </c>
      <c r="Y578" s="364">
        <f t="shared" si="192"/>
        <v>0</v>
      </c>
      <c r="AQ578" s="3"/>
    </row>
    <row r="579" spans="5:43" x14ac:dyDescent="0.35">
      <c r="E579" s="352"/>
      <c r="F579" s="2" t="s">
        <v>985</v>
      </c>
      <c r="G579" t="s">
        <v>207</v>
      </c>
      <c r="J579" s="364">
        <f>J124</f>
        <v>0</v>
      </c>
      <c r="K579" s="364">
        <f t="shared" ref="K579:Y579" si="193">K124</f>
        <v>0</v>
      </c>
      <c r="L579" s="364">
        <f t="shared" si="193"/>
        <v>14.334761233191198</v>
      </c>
      <c r="M579" s="364">
        <f t="shared" si="193"/>
        <v>0</v>
      </c>
      <c r="N579" s="364">
        <f t="shared" si="193"/>
        <v>255.28821187459465</v>
      </c>
      <c r="O579" s="364">
        <f t="shared" si="193"/>
        <v>0</v>
      </c>
      <c r="P579" s="364">
        <f t="shared" si="193"/>
        <v>0</v>
      </c>
      <c r="Q579" s="364">
        <f t="shared" si="193"/>
        <v>0</v>
      </c>
      <c r="R579" s="364">
        <f t="shared" si="193"/>
        <v>0</v>
      </c>
      <c r="S579" s="364">
        <f t="shared" si="193"/>
        <v>0</v>
      </c>
      <c r="T579" s="364">
        <f t="shared" si="193"/>
        <v>0</v>
      </c>
      <c r="U579" s="364">
        <f t="shared" si="193"/>
        <v>0</v>
      </c>
      <c r="V579" s="364">
        <f t="shared" si="193"/>
        <v>0</v>
      </c>
      <c r="W579" s="364">
        <f t="shared" si="193"/>
        <v>0</v>
      </c>
      <c r="X579" s="364">
        <f t="shared" si="193"/>
        <v>0</v>
      </c>
      <c r="Y579" s="364">
        <f t="shared" si="193"/>
        <v>0</v>
      </c>
      <c r="AQ579" s="3"/>
    </row>
    <row r="580" spans="5:43" x14ac:dyDescent="0.35">
      <c r="E580" s="352"/>
      <c r="F580" s="2" t="s">
        <v>987</v>
      </c>
      <c r="G580" t="s">
        <v>207</v>
      </c>
      <c r="J580" s="101">
        <f>J133</f>
        <v>0</v>
      </c>
      <c r="K580" s="101">
        <f t="shared" ref="K580:Y580" si="194">K133</f>
        <v>0</v>
      </c>
      <c r="L580" s="101">
        <f t="shared" si="194"/>
        <v>19.972982797941306</v>
      </c>
      <c r="M580" s="101">
        <f t="shared" si="194"/>
        <v>0</v>
      </c>
      <c r="N580" s="101">
        <f t="shared" si="194"/>
        <v>193.02614847591028</v>
      </c>
      <c r="O580" s="101">
        <f t="shared" si="194"/>
        <v>0</v>
      </c>
      <c r="P580" s="101">
        <f t="shared" si="194"/>
        <v>0</v>
      </c>
      <c r="Q580" s="101">
        <f t="shared" si="194"/>
        <v>0</v>
      </c>
      <c r="R580" s="101">
        <f t="shared" si="194"/>
        <v>0</v>
      </c>
      <c r="S580" s="101">
        <f t="shared" si="194"/>
        <v>0</v>
      </c>
      <c r="T580" s="101">
        <f t="shared" si="194"/>
        <v>0</v>
      </c>
      <c r="U580" s="101">
        <f t="shared" si="194"/>
        <v>0</v>
      </c>
      <c r="V580" s="101">
        <f t="shared" si="194"/>
        <v>0</v>
      </c>
      <c r="W580" s="101">
        <f t="shared" si="194"/>
        <v>0</v>
      </c>
      <c r="X580" s="101">
        <f t="shared" si="194"/>
        <v>0</v>
      </c>
      <c r="Y580" s="101">
        <f t="shared" si="194"/>
        <v>0</v>
      </c>
      <c r="AQ580" s="3"/>
    </row>
    <row r="581" spans="5:43" x14ac:dyDescent="0.35">
      <c r="E581" s="352"/>
      <c r="F581" s="2" t="s">
        <v>986</v>
      </c>
      <c r="G581" t="s">
        <v>207</v>
      </c>
      <c r="J581" s="101">
        <f>J142</f>
        <v>0</v>
      </c>
      <c r="K581" s="101">
        <f t="shared" ref="K581:Y581" si="195">K142</f>
        <v>0</v>
      </c>
      <c r="L581" s="101">
        <f t="shared" si="195"/>
        <v>52.858601554173426</v>
      </c>
      <c r="M581" s="101">
        <f t="shared" si="195"/>
        <v>0</v>
      </c>
      <c r="N581" s="101">
        <f t="shared" si="195"/>
        <v>525.40369648293677</v>
      </c>
      <c r="O581" s="101">
        <f t="shared" si="195"/>
        <v>0</v>
      </c>
      <c r="P581" s="101">
        <f t="shared" si="195"/>
        <v>0</v>
      </c>
      <c r="Q581" s="101">
        <f t="shared" si="195"/>
        <v>0</v>
      </c>
      <c r="R581" s="101">
        <f t="shared" si="195"/>
        <v>0</v>
      </c>
      <c r="S581" s="101">
        <f t="shared" si="195"/>
        <v>0</v>
      </c>
      <c r="T581" s="101">
        <f t="shared" si="195"/>
        <v>0</v>
      </c>
      <c r="U581" s="101">
        <f t="shared" si="195"/>
        <v>0</v>
      </c>
      <c r="V581" s="101">
        <f t="shared" si="195"/>
        <v>0</v>
      </c>
      <c r="W581" s="101">
        <f t="shared" si="195"/>
        <v>0</v>
      </c>
      <c r="X581" s="101">
        <f t="shared" si="195"/>
        <v>0</v>
      </c>
      <c r="Y581" s="101">
        <f t="shared" si="195"/>
        <v>0</v>
      </c>
      <c r="AQ581" s="3"/>
    </row>
    <row r="582" spans="5:43" x14ac:dyDescent="0.35">
      <c r="E582" s="72" t="s">
        <v>249</v>
      </c>
      <c r="F582" s="2"/>
      <c r="J582" s="26"/>
      <c r="K582" s="26"/>
      <c r="L582" s="26"/>
      <c r="M582" s="26"/>
      <c r="N582" s="26"/>
      <c r="O582" s="26"/>
      <c r="P582" s="26"/>
      <c r="Q582" s="26"/>
      <c r="R582" s="26"/>
      <c r="S582" s="26"/>
      <c r="T582" s="26"/>
      <c r="U582" s="26"/>
      <c r="V582" s="26"/>
      <c r="W582" s="26"/>
      <c r="X582" s="26"/>
      <c r="Y582" s="26"/>
      <c r="AQ582" s="3"/>
    </row>
    <row r="583" spans="5:43" x14ac:dyDescent="0.35">
      <c r="E583" s="352"/>
      <c r="F583" s="2" t="s">
        <v>983</v>
      </c>
      <c r="G583" t="s">
        <v>207</v>
      </c>
      <c r="J583" s="131">
        <f>J107</f>
        <v>0</v>
      </c>
      <c r="K583" s="131">
        <f t="shared" ref="K583:Y583" si="196">K107</f>
        <v>0</v>
      </c>
      <c r="L583" s="131">
        <f t="shared" si="196"/>
        <v>0</v>
      </c>
      <c r="M583" s="131">
        <f t="shared" si="196"/>
        <v>0</v>
      </c>
      <c r="N583" s="131">
        <f t="shared" si="196"/>
        <v>0</v>
      </c>
      <c r="O583" s="131">
        <f t="shared" si="196"/>
        <v>0</v>
      </c>
      <c r="P583" s="131">
        <f t="shared" si="196"/>
        <v>0</v>
      </c>
      <c r="Q583" s="131">
        <f t="shared" si="196"/>
        <v>0</v>
      </c>
      <c r="R583" s="131">
        <f t="shared" si="196"/>
        <v>0</v>
      </c>
      <c r="S583" s="131">
        <f t="shared" si="196"/>
        <v>0</v>
      </c>
      <c r="T583" s="131">
        <f t="shared" si="196"/>
        <v>0</v>
      </c>
      <c r="U583" s="131">
        <f t="shared" si="196"/>
        <v>0</v>
      </c>
      <c r="V583" s="131">
        <f t="shared" si="196"/>
        <v>0</v>
      </c>
      <c r="W583" s="131">
        <f t="shared" si="196"/>
        <v>0</v>
      </c>
      <c r="X583" s="131">
        <f t="shared" si="196"/>
        <v>0</v>
      </c>
      <c r="Y583" s="131">
        <f t="shared" si="196"/>
        <v>0</v>
      </c>
      <c r="AQ583" s="3"/>
    </row>
    <row r="584" spans="5:43" x14ac:dyDescent="0.35">
      <c r="E584" s="352"/>
      <c r="F584" s="2" t="s">
        <v>984</v>
      </c>
      <c r="G584" t="s">
        <v>207</v>
      </c>
      <c r="J584" s="364">
        <f>J116</f>
        <v>3226.095715157287</v>
      </c>
      <c r="K584" s="364">
        <f t="shared" ref="K584:Y584" si="197">K116</f>
        <v>0</v>
      </c>
      <c r="L584" s="364">
        <f t="shared" si="197"/>
        <v>1.5205414991995714</v>
      </c>
      <c r="M584" s="364">
        <f t="shared" si="197"/>
        <v>0</v>
      </c>
      <c r="N584" s="364">
        <f t="shared" si="197"/>
        <v>122.73728250359953</v>
      </c>
      <c r="O584" s="364">
        <f t="shared" si="197"/>
        <v>0</v>
      </c>
      <c r="P584" s="364">
        <f t="shared" si="197"/>
        <v>0</v>
      </c>
      <c r="Q584" s="364">
        <f t="shared" si="197"/>
        <v>49.511599999999994</v>
      </c>
      <c r="R584" s="364">
        <f t="shared" si="197"/>
        <v>0</v>
      </c>
      <c r="S584" s="364">
        <f t="shared" si="197"/>
        <v>0</v>
      </c>
      <c r="T584" s="364">
        <f t="shared" si="197"/>
        <v>0</v>
      </c>
      <c r="U584" s="364">
        <f t="shared" si="197"/>
        <v>0</v>
      </c>
      <c r="V584" s="364">
        <f t="shared" si="197"/>
        <v>0</v>
      </c>
      <c r="W584" s="364">
        <f t="shared" si="197"/>
        <v>0</v>
      </c>
      <c r="X584" s="364">
        <f t="shared" si="197"/>
        <v>0</v>
      </c>
      <c r="Y584" s="364">
        <f t="shared" si="197"/>
        <v>0</v>
      </c>
      <c r="AQ584" s="3"/>
    </row>
    <row r="585" spans="5:43" x14ac:dyDescent="0.35">
      <c r="E585" s="352"/>
      <c r="F585" s="2" t="s">
        <v>985</v>
      </c>
      <c r="G585" t="s">
        <v>207</v>
      </c>
      <c r="J585" s="364">
        <f>J125</f>
        <v>0</v>
      </c>
      <c r="K585" s="364">
        <f t="shared" ref="K585:Y585" si="198">K125</f>
        <v>0</v>
      </c>
      <c r="L585" s="364">
        <f t="shared" si="198"/>
        <v>7.29889970461043</v>
      </c>
      <c r="M585" s="364">
        <f t="shared" si="198"/>
        <v>0</v>
      </c>
      <c r="N585" s="364">
        <f t="shared" si="198"/>
        <v>126.09550314065156</v>
      </c>
      <c r="O585" s="364">
        <f t="shared" si="198"/>
        <v>0</v>
      </c>
      <c r="P585" s="364">
        <f t="shared" si="198"/>
        <v>0</v>
      </c>
      <c r="Q585" s="364">
        <f t="shared" si="198"/>
        <v>0</v>
      </c>
      <c r="R585" s="364">
        <f t="shared" si="198"/>
        <v>0</v>
      </c>
      <c r="S585" s="364">
        <f t="shared" si="198"/>
        <v>0</v>
      </c>
      <c r="T585" s="364">
        <f t="shared" si="198"/>
        <v>0</v>
      </c>
      <c r="U585" s="364">
        <f t="shared" si="198"/>
        <v>0</v>
      </c>
      <c r="V585" s="364">
        <f t="shared" si="198"/>
        <v>0</v>
      </c>
      <c r="W585" s="364">
        <f t="shared" si="198"/>
        <v>0</v>
      </c>
      <c r="X585" s="364">
        <f t="shared" si="198"/>
        <v>0</v>
      </c>
      <c r="Y585" s="364">
        <f t="shared" si="198"/>
        <v>0</v>
      </c>
      <c r="AQ585" s="3"/>
    </row>
    <row r="586" spans="5:43" x14ac:dyDescent="0.35">
      <c r="E586" s="352"/>
      <c r="F586" s="2" t="s">
        <v>987</v>
      </c>
      <c r="G586" t="s">
        <v>207</v>
      </c>
      <c r="J586" s="101">
        <f>J134</f>
        <v>0</v>
      </c>
      <c r="K586" s="101">
        <f t="shared" ref="K586:Y586" si="199">K134</f>
        <v>0</v>
      </c>
      <c r="L586" s="101">
        <f t="shared" si="199"/>
        <v>10.169740246983475</v>
      </c>
      <c r="M586" s="101">
        <f t="shared" si="199"/>
        <v>0</v>
      </c>
      <c r="N586" s="101">
        <f t="shared" si="199"/>
        <v>95.342159094006419</v>
      </c>
      <c r="O586" s="101">
        <f t="shared" si="199"/>
        <v>0</v>
      </c>
      <c r="P586" s="101">
        <f t="shared" si="199"/>
        <v>0</v>
      </c>
      <c r="Q586" s="101">
        <f t="shared" si="199"/>
        <v>0</v>
      </c>
      <c r="R586" s="101">
        <f t="shared" si="199"/>
        <v>0</v>
      </c>
      <c r="S586" s="101">
        <f t="shared" si="199"/>
        <v>0</v>
      </c>
      <c r="T586" s="101">
        <f t="shared" si="199"/>
        <v>0</v>
      </c>
      <c r="U586" s="101">
        <f t="shared" si="199"/>
        <v>0</v>
      </c>
      <c r="V586" s="101">
        <f t="shared" si="199"/>
        <v>0</v>
      </c>
      <c r="W586" s="101">
        <f t="shared" si="199"/>
        <v>0</v>
      </c>
      <c r="X586" s="101">
        <f t="shared" si="199"/>
        <v>0</v>
      </c>
      <c r="Y586" s="101">
        <f t="shared" si="199"/>
        <v>0</v>
      </c>
      <c r="AQ586" s="3"/>
    </row>
    <row r="587" spans="5:43" x14ac:dyDescent="0.35">
      <c r="E587" s="352"/>
      <c r="F587" s="2" t="s">
        <v>986</v>
      </c>
      <c r="G587" t="s">
        <v>207</v>
      </c>
      <c r="J587" s="101">
        <f>J143</f>
        <v>0</v>
      </c>
      <c r="K587" s="101">
        <f t="shared" ref="K587:Y587" si="200">K143</f>
        <v>0</v>
      </c>
      <c r="L587" s="101">
        <f t="shared" si="200"/>
        <v>26.914269794502051</v>
      </c>
      <c r="M587" s="101">
        <f t="shared" si="200"/>
        <v>0</v>
      </c>
      <c r="N587" s="101">
        <f t="shared" si="200"/>
        <v>259.51469898860285</v>
      </c>
      <c r="O587" s="101">
        <f t="shared" si="200"/>
        <v>0</v>
      </c>
      <c r="P587" s="101">
        <f t="shared" si="200"/>
        <v>0</v>
      </c>
      <c r="Q587" s="101">
        <f t="shared" si="200"/>
        <v>0</v>
      </c>
      <c r="R587" s="101">
        <f t="shared" si="200"/>
        <v>0</v>
      </c>
      <c r="S587" s="101">
        <f t="shared" si="200"/>
        <v>0</v>
      </c>
      <c r="T587" s="101">
        <f t="shared" si="200"/>
        <v>0</v>
      </c>
      <c r="U587" s="101">
        <f t="shared" si="200"/>
        <v>0</v>
      </c>
      <c r="V587" s="101">
        <f t="shared" si="200"/>
        <v>0</v>
      </c>
      <c r="W587" s="101">
        <f t="shared" si="200"/>
        <v>0</v>
      </c>
      <c r="X587" s="101">
        <f t="shared" si="200"/>
        <v>0</v>
      </c>
      <c r="Y587" s="101">
        <f t="shared" si="200"/>
        <v>0</v>
      </c>
      <c r="AQ587" s="3"/>
    </row>
    <row r="588" spans="5:43" x14ac:dyDescent="0.35">
      <c r="E588" s="72" t="s">
        <v>212</v>
      </c>
      <c r="F588" s="2"/>
      <c r="J588" s="26"/>
      <c r="K588" s="26"/>
      <c r="L588" s="26"/>
      <c r="M588" s="26"/>
      <c r="N588" s="26"/>
      <c r="O588" s="26"/>
      <c r="P588" s="26"/>
      <c r="Q588" s="26"/>
      <c r="R588" s="26"/>
      <c r="S588" s="26"/>
      <c r="T588" s="26"/>
      <c r="U588" s="26"/>
      <c r="V588" s="26"/>
      <c r="W588" s="26"/>
      <c r="X588" s="26"/>
      <c r="Y588" s="26"/>
      <c r="AQ588" s="3"/>
    </row>
    <row r="589" spans="5:43" x14ac:dyDescent="0.35">
      <c r="E589" s="352"/>
      <c r="F589" s="2" t="s">
        <v>983</v>
      </c>
      <c r="G589" t="s">
        <v>212</v>
      </c>
      <c r="J589" s="131">
        <f>J108</f>
        <v>0</v>
      </c>
      <c r="K589" s="131">
        <f t="shared" ref="K589:Y589" si="201">K108</f>
        <v>0</v>
      </c>
      <c r="L589" s="131">
        <f t="shared" si="201"/>
        <v>0</v>
      </c>
      <c r="M589" s="131">
        <f t="shared" si="201"/>
        <v>0</v>
      </c>
      <c r="N589" s="131">
        <f t="shared" si="201"/>
        <v>0</v>
      </c>
      <c r="O589" s="131">
        <f t="shared" si="201"/>
        <v>0</v>
      </c>
      <c r="P589" s="131">
        <f t="shared" si="201"/>
        <v>0</v>
      </c>
      <c r="Q589" s="131">
        <f t="shared" si="201"/>
        <v>0</v>
      </c>
      <c r="R589" s="131">
        <f t="shared" si="201"/>
        <v>0</v>
      </c>
      <c r="S589" s="131">
        <f t="shared" si="201"/>
        <v>0</v>
      </c>
      <c r="T589" s="131">
        <f t="shared" si="201"/>
        <v>0</v>
      </c>
      <c r="U589" s="131">
        <f t="shared" si="201"/>
        <v>0</v>
      </c>
      <c r="V589" s="131">
        <f t="shared" si="201"/>
        <v>0</v>
      </c>
      <c r="W589" s="131">
        <f t="shared" si="201"/>
        <v>0</v>
      </c>
      <c r="X589" s="131">
        <f t="shared" si="201"/>
        <v>0</v>
      </c>
      <c r="Y589" s="131">
        <f t="shared" si="201"/>
        <v>0</v>
      </c>
      <c r="AQ589" s="3"/>
    </row>
    <row r="590" spans="5:43" x14ac:dyDescent="0.35">
      <c r="E590" s="352"/>
      <c r="F590" s="2" t="s">
        <v>984</v>
      </c>
      <c r="G590" t="s">
        <v>212</v>
      </c>
      <c r="J590" s="364">
        <f>J117</f>
        <v>3073.516129032258</v>
      </c>
      <c r="K590" s="364">
        <f t="shared" ref="K590:Y590" si="202">K117</f>
        <v>0</v>
      </c>
      <c r="L590" s="364">
        <f t="shared" si="202"/>
        <v>6.3790580040319442</v>
      </c>
      <c r="M590" s="364">
        <f t="shared" si="202"/>
        <v>0</v>
      </c>
      <c r="N590" s="364">
        <f t="shared" si="202"/>
        <v>4.7852380213986665</v>
      </c>
      <c r="O590" s="364">
        <f t="shared" si="202"/>
        <v>0</v>
      </c>
      <c r="P590" s="364">
        <f t="shared" si="202"/>
        <v>0</v>
      </c>
      <c r="Q590" s="364">
        <f t="shared" si="202"/>
        <v>2</v>
      </c>
      <c r="R590" s="364">
        <f t="shared" si="202"/>
        <v>0</v>
      </c>
      <c r="S590" s="364">
        <f t="shared" si="202"/>
        <v>0</v>
      </c>
      <c r="T590" s="364">
        <f t="shared" si="202"/>
        <v>0</v>
      </c>
      <c r="U590" s="364">
        <f t="shared" si="202"/>
        <v>0</v>
      </c>
      <c r="V590" s="364">
        <f t="shared" si="202"/>
        <v>0</v>
      </c>
      <c r="W590" s="364">
        <f t="shared" si="202"/>
        <v>0</v>
      </c>
      <c r="X590" s="364">
        <f t="shared" si="202"/>
        <v>0</v>
      </c>
      <c r="Y590" s="364">
        <f t="shared" si="202"/>
        <v>0</v>
      </c>
      <c r="AQ590" s="3"/>
    </row>
    <row r="591" spans="5:43" x14ac:dyDescent="0.35">
      <c r="E591" s="352"/>
      <c r="F591" s="2" t="s">
        <v>985</v>
      </c>
      <c r="G591" t="s">
        <v>212</v>
      </c>
      <c r="J591" s="364">
        <f>J126</f>
        <v>0</v>
      </c>
      <c r="K591" s="364">
        <f t="shared" ref="K591:Y591" si="203">K126</f>
        <v>0</v>
      </c>
      <c r="L591" s="364">
        <f t="shared" si="203"/>
        <v>5.1746259801678187</v>
      </c>
      <c r="M591" s="364">
        <f t="shared" si="203"/>
        <v>0</v>
      </c>
      <c r="N591" s="364">
        <f t="shared" si="203"/>
        <v>2.5755931152116607</v>
      </c>
      <c r="O591" s="364">
        <f t="shared" si="203"/>
        <v>0</v>
      </c>
      <c r="P591" s="364">
        <f t="shared" si="203"/>
        <v>0</v>
      </c>
      <c r="Q591" s="364">
        <f t="shared" si="203"/>
        <v>0</v>
      </c>
      <c r="R591" s="364">
        <f t="shared" si="203"/>
        <v>0</v>
      </c>
      <c r="S591" s="364">
        <f t="shared" si="203"/>
        <v>0</v>
      </c>
      <c r="T591" s="364">
        <f t="shared" si="203"/>
        <v>0</v>
      </c>
      <c r="U591" s="364">
        <f t="shared" si="203"/>
        <v>0</v>
      </c>
      <c r="V591" s="364">
        <f t="shared" si="203"/>
        <v>0</v>
      </c>
      <c r="W591" s="364">
        <f t="shared" si="203"/>
        <v>0</v>
      </c>
      <c r="X591" s="364">
        <f t="shared" si="203"/>
        <v>0</v>
      </c>
      <c r="Y591" s="364">
        <f t="shared" si="203"/>
        <v>0</v>
      </c>
      <c r="AQ591" s="3"/>
    </row>
    <row r="592" spans="5:43" x14ac:dyDescent="0.35">
      <c r="E592" s="352"/>
      <c r="F592" s="2" t="s">
        <v>987</v>
      </c>
      <c r="G592" t="s">
        <v>212</v>
      </c>
      <c r="J592" s="101">
        <f>J135</f>
        <v>0</v>
      </c>
      <c r="K592" s="101">
        <f t="shared" ref="K592:Y592" si="204">K135</f>
        <v>0</v>
      </c>
      <c r="L592" s="101">
        <f t="shared" si="204"/>
        <v>2.9217900304581077</v>
      </c>
      <c r="M592" s="101">
        <f t="shared" si="204"/>
        <v>0</v>
      </c>
      <c r="N592" s="101">
        <f t="shared" si="204"/>
        <v>1.1846797953171033</v>
      </c>
      <c r="O592" s="101">
        <f t="shared" si="204"/>
        <v>0</v>
      </c>
      <c r="P592" s="101">
        <f t="shared" si="204"/>
        <v>0</v>
      </c>
      <c r="Q592" s="101">
        <f t="shared" si="204"/>
        <v>0</v>
      </c>
      <c r="R592" s="101">
        <f t="shared" si="204"/>
        <v>0</v>
      </c>
      <c r="S592" s="101">
        <f t="shared" si="204"/>
        <v>0</v>
      </c>
      <c r="T592" s="101">
        <f t="shared" si="204"/>
        <v>0</v>
      </c>
      <c r="U592" s="101">
        <f t="shared" si="204"/>
        <v>0</v>
      </c>
      <c r="V592" s="101">
        <f t="shared" si="204"/>
        <v>0</v>
      </c>
      <c r="W592" s="101">
        <f t="shared" si="204"/>
        <v>0</v>
      </c>
      <c r="X592" s="101">
        <f t="shared" si="204"/>
        <v>0</v>
      </c>
      <c r="Y592" s="101">
        <f t="shared" si="204"/>
        <v>0</v>
      </c>
      <c r="AQ592" s="3"/>
    </row>
    <row r="593" spans="5:43" x14ac:dyDescent="0.35">
      <c r="E593" s="352"/>
      <c r="F593" s="2" t="s">
        <v>986</v>
      </c>
      <c r="G593" t="s">
        <v>212</v>
      </c>
      <c r="J593" s="101">
        <f>J144</f>
        <v>0</v>
      </c>
      <c r="K593" s="101">
        <f t="shared" ref="K593:Y593" si="205">K144</f>
        <v>0</v>
      </c>
      <c r="L593" s="101">
        <f t="shared" si="205"/>
        <v>2.3632356627614848</v>
      </c>
      <c r="M593" s="101">
        <f t="shared" si="205"/>
        <v>0</v>
      </c>
      <c r="N593" s="101">
        <f t="shared" si="205"/>
        <v>1.4544890680725695</v>
      </c>
      <c r="O593" s="101">
        <f t="shared" si="205"/>
        <v>0</v>
      </c>
      <c r="P593" s="101">
        <f t="shared" si="205"/>
        <v>0</v>
      </c>
      <c r="Q593" s="101">
        <f t="shared" si="205"/>
        <v>0</v>
      </c>
      <c r="R593" s="101">
        <f t="shared" si="205"/>
        <v>0</v>
      </c>
      <c r="S593" s="101">
        <f t="shared" si="205"/>
        <v>0</v>
      </c>
      <c r="T593" s="101">
        <f t="shared" si="205"/>
        <v>0</v>
      </c>
      <c r="U593" s="101">
        <f t="shared" si="205"/>
        <v>0</v>
      </c>
      <c r="V593" s="101">
        <f t="shared" si="205"/>
        <v>0</v>
      </c>
      <c r="W593" s="101">
        <f t="shared" si="205"/>
        <v>0</v>
      </c>
      <c r="X593" s="101">
        <f t="shared" si="205"/>
        <v>0</v>
      </c>
      <c r="Y593" s="101">
        <f t="shared" si="205"/>
        <v>0</v>
      </c>
      <c r="AQ593" s="3"/>
    </row>
    <row r="594" spans="5:43" x14ac:dyDescent="0.35">
      <c r="E594" s="72" t="s">
        <v>250</v>
      </c>
      <c r="F594" s="2"/>
      <c r="J594" s="26"/>
      <c r="K594" s="26"/>
      <c r="L594" s="26"/>
      <c r="M594" s="26"/>
      <c r="N594" s="26"/>
      <c r="O594" s="26"/>
      <c r="P594" s="26"/>
      <c r="Q594" s="26"/>
      <c r="R594" s="26"/>
      <c r="S594" s="26"/>
      <c r="T594" s="26"/>
      <c r="U594" s="26"/>
      <c r="V594" s="26"/>
      <c r="W594" s="26"/>
      <c r="X594" s="26"/>
      <c r="Y594" s="26"/>
      <c r="AQ594" s="3"/>
    </row>
    <row r="595" spans="5:43" x14ac:dyDescent="0.35">
      <c r="E595" s="352"/>
      <c r="F595" s="2" t="s">
        <v>983</v>
      </c>
      <c r="G595" t="s">
        <v>251</v>
      </c>
      <c r="J595" s="131">
        <f>J109</f>
        <v>0</v>
      </c>
      <c r="K595" s="131">
        <f t="shared" ref="K595:Y595" si="206">K109</f>
        <v>0</v>
      </c>
      <c r="L595" s="131">
        <f t="shared" si="206"/>
        <v>0</v>
      </c>
      <c r="M595" s="131">
        <f t="shared" si="206"/>
        <v>0</v>
      </c>
      <c r="N595" s="131">
        <f t="shared" si="206"/>
        <v>0</v>
      </c>
      <c r="O595" s="131">
        <f t="shared" si="206"/>
        <v>0</v>
      </c>
      <c r="P595" s="131">
        <f t="shared" si="206"/>
        <v>0</v>
      </c>
      <c r="Q595" s="131">
        <f t="shared" si="206"/>
        <v>0</v>
      </c>
      <c r="R595" s="131">
        <f t="shared" si="206"/>
        <v>0</v>
      </c>
      <c r="S595" s="131">
        <f t="shared" si="206"/>
        <v>0</v>
      </c>
      <c r="T595" s="131">
        <f t="shared" si="206"/>
        <v>0</v>
      </c>
      <c r="U595" s="131">
        <f t="shared" si="206"/>
        <v>0</v>
      </c>
      <c r="V595" s="131">
        <f t="shared" si="206"/>
        <v>0</v>
      </c>
      <c r="W595" s="131">
        <f t="shared" si="206"/>
        <v>0</v>
      </c>
      <c r="X595" s="131">
        <f t="shared" si="206"/>
        <v>0</v>
      </c>
      <c r="Y595" s="131">
        <f t="shared" si="206"/>
        <v>0</v>
      </c>
      <c r="AQ595" s="3"/>
    </row>
    <row r="596" spans="5:43" x14ac:dyDescent="0.35">
      <c r="E596" s="352"/>
      <c r="F596" s="2" t="s">
        <v>984</v>
      </c>
      <c r="G596" t="s">
        <v>251</v>
      </c>
      <c r="J596" s="364">
        <f>J118</f>
        <v>0</v>
      </c>
      <c r="K596" s="364">
        <f t="shared" ref="K596:Y596" si="207">K118</f>
        <v>0</v>
      </c>
      <c r="L596" s="364">
        <f t="shared" si="207"/>
        <v>0</v>
      </c>
      <c r="M596" s="364">
        <f t="shared" si="207"/>
        <v>0</v>
      </c>
      <c r="N596" s="364">
        <f t="shared" si="207"/>
        <v>447.28615823346883</v>
      </c>
      <c r="O596" s="364">
        <f t="shared" si="207"/>
        <v>0</v>
      </c>
      <c r="P596" s="364">
        <f t="shared" si="207"/>
        <v>0</v>
      </c>
      <c r="Q596" s="364">
        <f t="shared" si="207"/>
        <v>0</v>
      </c>
      <c r="R596" s="364">
        <f t="shared" si="207"/>
        <v>0</v>
      </c>
      <c r="S596" s="364">
        <f t="shared" si="207"/>
        <v>0</v>
      </c>
      <c r="T596" s="364">
        <f t="shared" si="207"/>
        <v>0</v>
      </c>
      <c r="U596" s="364">
        <f t="shared" si="207"/>
        <v>0</v>
      </c>
      <c r="V596" s="364">
        <f t="shared" si="207"/>
        <v>0</v>
      </c>
      <c r="W596" s="364">
        <f t="shared" si="207"/>
        <v>0</v>
      </c>
      <c r="X596" s="364">
        <f t="shared" si="207"/>
        <v>0</v>
      </c>
      <c r="Y596" s="364">
        <f t="shared" si="207"/>
        <v>0</v>
      </c>
      <c r="AQ596" s="3"/>
    </row>
    <row r="597" spans="5:43" x14ac:dyDescent="0.35">
      <c r="E597" s="352"/>
      <c r="F597" s="2" t="s">
        <v>985</v>
      </c>
      <c r="G597" t="s">
        <v>251</v>
      </c>
      <c r="J597" s="364">
        <f>J127</f>
        <v>0</v>
      </c>
      <c r="K597" s="364">
        <f t="shared" ref="K597:Y597" si="208">K127</f>
        <v>0</v>
      </c>
      <c r="L597" s="364">
        <f t="shared" si="208"/>
        <v>0</v>
      </c>
      <c r="M597" s="364">
        <f t="shared" si="208"/>
        <v>0</v>
      </c>
      <c r="N597" s="364">
        <f t="shared" si="208"/>
        <v>459.52437612951286</v>
      </c>
      <c r="O597" s="364">
        <f t="shared" si="208"/>
        <v>0</v>
      </c>
      <c r="P597" s="364">
        <f t="shared" si="208"/>
        <v>0</v>
      </c>
      <c r="Q597" s="364">
        <f t="shared" si="208"/>
        <v>0</v>
      </c>
      <c r="R597" s="364">
        <f t="shared" si="208"/>
        <v>0</v>
      </c>
      <c r="S597" s="364">
        <f t="shared" si="208"/>
        <v>0</v>
      </c>
      <c r="T597" s="364">
        <f t="shared" si="208"/>
        <v>0</v>
      </c>
      <c r="U597" s="364">
        <f t="shared" si="208"/>
        <v>0</v>
      </c>
      <c r="V597" s="364">
        <f t="shared" si="208"/>
        <v>0</v>
      </c>
      <c r="W597" s="364">
        <f t="shared" si="208"/>
        <v>0</v>
      </c>
      <c r="X597" s="364">
        <f t="shared" si="208"/>
        <v>0</v>
      </c>
      <c r="Y597" s="364">
        <f t="shared" si="208"/>
        <v>0</v>
      </c>
      <c r="AQ597" s="3"/>
    </row>
    <row r="598" spans="5:43" x14ac:dyDescent="0.35">
      <c r="E598" s="352"/>
      <c r="F598" s="2" t="s">
        <v>987</v>
      </c>
      <c r="G598" t="s">
        <v>251</v>
      </c>
      <c r="J598" s="101">
        <f>J136</f>
        <v>0</v>
      </c>
      <c r="K598" s="101">
        <f t="shared" ref="K598:Y598" si="209">K136</f>
        <v>0</v>
      </c>
      <c r="L598" s="101">
        <f t="shared" si="209"/>
        <v>0</v>
      </c>
      <c r="M598" s="101">
        <f t="shared" si="209"/>
        <v>0</v>
      </c>
      <c r="N598" s="101">
        <f t="shared" si="209"/>
        <v>347.4512975109389</v>
      </c>
      <c r="O598" s="101">
        <f t="shared" si="209"/>
        <v>0</v>
      </c>
      <c r="P598" s="101">
        <f t="shared" si="209"/>
        <v>0</v>
      </c>
      <c r="Q598" s="101">
        <f t="shared" si="209"/>
        <v>0</v>
      </c>
      <c r="R598" s="101">
        <f t="shared" si="209"/>
        <v>0</v>
      </c>
      <c r="S598" s="101">
        <f t="shared" si="209"/>
        <v>0</v>
      </c>
      <c r="T598" s="101">
        <f t="shared" si="209"/>
        <v>0</v>
      </c>
      <c r="U598" s="101">
        <f t="shared" si="209"/>
        <v>0</v>
      </c>
      <c r="V598" s="101">
        <f t="shared" si="209"/>
        <v>0</v>
      </c>
      <c r="W598" s="101">
        <f t="shared" si="209"/>
        <v>0</v>
      </c>
      <c r="X598" s="101">
        <f t="shared" si="209"/>
        <v>0</v>
      </c>
      <c r="Y598" s="101">
        <f t="shared" si="209"/>
        <v>0</v>
      </c>
      <c r="AQ598" s="3"/>
    </row>
    <row r="599" spans="5:43" x14ac:dyDescent="0.35">
      <c r="E599" s="352"/>
      <c r="F599" s="2" t="s">
        <v>986</v>
      </c>
      <c r="G599" t="s">
        <v>251</v>
      </c>
      <c r="J599" s="101">
        <f>J145</f>
        <v>0</v>
      </c>
      <c r="K599" s="101">
        <f t="shared" ref="K599:Y599" si="210">K145</f>
        <v>0</v>
      </c>
      <c r="L599" s="101">
        <f t="shared" si="210"/>
        <v>0</v>
      </c>
      <c r="M599" s="101">
        <f t="shared" si="210"/>
        <v>0</v>
      </c>
      <c r="N599" s="101">
        <f t="shared" si="210"/>
        <v>945.73816812607902</v>
      </c>
      <c r="O599" s="101">
        <f t="shared" si="210"/>
        <v>0</v>
      </c>
      <c r="P599" s="101">
        <f t="shared" si="210"/>
        <v>0</v>
      </c>
      <c r="Q599" s="101">
        <f t="shared" si="210"/>
        <v>0</v>
      </c>
      <c r="R599" s="101">
        <f t="shared" si="210"/>
        <v>0</v>
      </c>
      <c r="S599" s="101">
        <f t="shared" si="210"/>
        <v>0</v>
      </c>
      <c r="T599" s="101">
        <f t="shared" si="210"/>
        <v>0</v>
      </c>
      <c r="U599" s="101">
        <f t="shared" si="210"/>
        <v>0</v>
      </c>
      <c r="V599" s="101">
        <f t="shared" si="210"/>
        <v>0</v>
      </c>
      <c r="W599" s="101">
        <f t="shared" si="210"/>
        <v>0</v>
      </c>
      <c r="X599" s="101">
        <f t="shared" si="210"/>
        <v>0</v>
      </c>
      <c r="Y599" s="101">
        <f t="shared" si="210"/>
        <v>0</v>
      </c>
      <c r="AQ599" s="3"/>
    </row>
    <row r="600" spans="5:43" x14ac:dyDescent="0.35">
      <c r="E600" s="72" t="s">
        <v>252</v>
      </c>
      <c r="F600" s="2"/>
      <c r="J600" s="26"/>
      <c r="K600" s="26"/>
      <c r="L600" s="26"/>
      <c r="M600" s="26"/>
      <c r="N600" s="26"/>
      <c r="O600" s="26"/>
      <c r="P600" s="26"/>
      <c r="Q600" s="26"/>
      <c r="R600" s="26"/>
      <c r="S600" s="26"/>
      <c r="T600" s="26"/>
      <c r="U600" s="26"/>
      <c r="V600" s="26"/>
      <c r="W600" s="26"/>
      <c r="X600" s="26"/>
      <c r="Y600" s="26"/>
      <c r="AQ600" s="3"/>
    </row>
    <row r="601" spans="5:43" x14ac:dyDescent="0.35">
      <c r="E601" s="352"/>
      <c r="F601" s="2" t="s">
        <v>983</v>
      </c>
      <c r="G601" t="s">
        <v>251</v>
      </c>
      <c r="J601" s="131">
        <f>J110</f>
        <v>0</v>
      </c>
      <c r="K601" s="131">
        <f t="shared" ref="K601:Y601" si="211">K110</f>
        <v>0</v>
      </c>
      <c r="L601" s="131">
        <f t="shared" si="211"/>
        <v>0</v>
      </c>
      <c r="M601" s="131">
        <f t="shared" si="211"/>
        <v>0</v>
      </c>
      <c r="N601" s="131">
        <f t="shared" si="211"/>
        <v>0</v>
      </c>
      <c r="O601" s="131">
        <f t="shared" si="211"/>
        <v>0</v>
      </c>
      <c r="P601" s="131">
        <f t="shared" si="211"/>
        <v>0</v>
      </c>
      <c r="Q601" s="131">
        <f t="shared" si="211"/>
        <v>0</v>
      </c>
      <c r="R601" s="131">
        <f t="shared" si="211"/>
        <v>0</v>
      </c>
      <c r="S601" s="131">
        <f t="shared" si="211"/>
        <v>0</v>
      </c>
      <c r="T601" s="131">
        <f t="shared" si="211"/>
        <v>0</v>
      </c>
      <c r="U601" s="131">
        <f t="shared" si="211"/>
        <v>0</v>
      </c>
      <c r="V601" s="131">
        <f t="shared" si="211"/>
        <v>0</v>
      </c>
      <c r="W601" s="131">
        <f t="shared" si="211"/>
        <v>0</v>
      </c>
      <c r="X601" s="131">
        <f t="shared" si="211"/>
        <v>0</v>
      </c>
      <c r="Y601" s="131">
        <f t="shared" si="211"/>
        <v>0</v>
      </c>
      <c r="AQ601" s="3"/>
    </row>
    <row r="602" spans="5:43" x14ac:dyDescent="0.35">
      <c r="E602" s="352"/>
      <c r="F602" s="2" t="s">
        <v>984</v>
      </c>
      <c r="G602" t="s">
        <v>251</v>
      </c>
      <c r="J602" s="364">
        <f>J119</f>
        <v>0</v>
      </c>
      <c r="K602" s="364">
        <f t="shared" ref="K602:Y602" si="212">K119</f>
        <v>0</v>
      </c>
      <c r="L602" s="364">
        <f t="shared" si="212"/>
        <v>0</v>
      </c>
      <c r="M602" s="364">
        <f t="shared" si="212"/>
        <v>0</v>
      </c>
      <c r="N602" s="364">
        <f t="shared" si="212"/>
        <v>0</v>
      </c>
      <c r="O602" s="364">
        <f t="shared" si="212"/>
        <v>0</v>
      </c>
      <c r="P602" s="364">
        <f t="shared" si="212"/>
        <v>0</v>
      </c>
      <c r="Q602" s="364">
        <f t="shared" si="212"/>
        <v>0</v>
      </c>
      <c r="R602" s="364">
        <f t="shared" si="212"/>
        <v>0</v>
      </c>
      <c r="S602" s="364">
        <f t="shared" si="212"/>
        <v>0</v>
      </c>
      <c r="T602" s="364">
        <f t="shared" si="212"/>
        <v>0</v>
      </c>
      <c r="U602" s="364">
        <f t="shared" si="212"/>
        <v>0</v>
      </c>
      <c r="V602" s="364">
        <f t="shared" si="212"/>
        <v>0</v>
      </c>
      <c r="W602" s="364">
        <f t="shared" si="212"/>
        <v>0</v>
      </c>
      <c r="X602" s="364">
        <f t="shared" si="212"/>
        <v>0</v>
      </c>
      <c r="Y602" s="364">
        <f t="shared" si="212"/>
        <v>0</v>
      </c>
      <c r="AQ602" s="3"/>
    </row>
    <row r="603" spans="5:43" x14ac:dyDescent="0.35">
      <c r="E603" s="352"/>
      <c r="F603" s="2" t="s">
        <v>985</v>
      </c>
      <c r="G603" t="s">
        <v>251</v>
      </c>
      <c r="J603" s="364">
        <f>J128</f>
        <v>0</v>
      </c>
      <c r="K603" s="364">
        <f t="shared" ref="K603:Y603" si="213">K128</f>
        <v>0</v>
      </c>
      <c r="L603" s="364">
        <f t="shared" si="213"/>
        <v>0</v>
      </c>
      <c r="M603" s="364">
        <f t="shared" si="213"/>
        <v>0</v>
      </c>
      <c r="N603" s="364">
        <f t="shared" si="213"/>
        <v>0</v>
      </c>
      <c r="O603" s="364">
        <f t="shared" si="213"/>
        <v>0</v>
      </c>
      <c r="P603" s="364">
        <f t="shared" si="213"/>
        <v>0</v>
      </c>
      <c r="Q603" s="364">
        <f t="shared" si="213"/>
        <v>0</v>
      </c>
      <c r="R603" s="364">
        <f t="shared" si="213"/>
        <v>0</v>
      </c>
      <c r="S603" s="364">
        <f t="shared" si="213"/>
        <v>0</v>
      </c>
      <c r="T603" s="364">
        <f t="shared" si="213"/>
        <v>0</v>
      </c>
      <c r="U603" s="364">
        <f t="shared" si="213"/>
        <v>0</v>
      </c>
      <c r="V603" s="364">
        <f t="shared" si="213"/>
        <v>0</v>
      </c>
      <c r="W603" s="364">
        <f t="shared" si="213"/>
        <v>0</v>
      </c>
      <c r="X603" s="364">
        <f t="shared" si="213"/>
        <v>0</v>
      </c>
      <c r="Y603" s="364">
        <f t="shared" si="213"/>
        <v>0</v>
      </c>
      <c r="AQ603" s="3"/>
    </row>
    <row r="604" spans="5:43" x14ac:dyDescent="0.35">
      <c r="E604" s="352"/>
      <c r="F604" s="2" t="s">
        <v>987</v>
      </c>
      <c r="G604" t="s">
        <v>251</v>
      </c>
      <c r="J604" s="101">
        <f>J137</f>
        <v>0</v>
      </c>
      <c r="K604" s="101">
        <f t="shared" ref="K604:Y604" si="214">K137</f>
        <v>0</v>
      </c>
      <c r="L604" s="101">
        <f t="shared" si="214"/>
        <v>0</v>
      </c>
      <c r="M604" s="101">
        <f t="shared" si="214"/>
        <v>0</v>
      </c>
      <c r="N604" s="101">
        <f t="shared" si="214"/>
        <v>0</v>
      </c>
      <c r="O604" s="101">
        <f t="shared" si="214"/>
        <v>0</v>
      </c>
      <c r="P604" s="101">
        <f t="shared" si="214"/>
        <v>0</v>
      </c>
      <c r="Q604" s="101">
        <f t="shared" si="214"/>
        <v>0</v>
      </c>
      <c r="R604" s="101">
        <f t="shared" si="214"/>
        <v>0</v>
      </c>
      <c r="S604" s="101">
        <f t="shared" si="214"/>
        <v>0</v>
      </c>
      <c r="T604" s="101">
        <f t="shared" si="214"/>
        <v>0</v>
      </c>
      <c r="U604" s="101">
        <f t="shared" si="214"/>
        <v>0</v>
      </c>
      <c r="V604" s="101">
        <f t="shared" si="214"/>
        <v>0</v>
      </c>
      <c r="W604" s="101">
        <f t="shared" si="214"/>
        <v>0</v>
      </c>
      <c r="X604" s="101">
        <f t="shared" si="214"/>
        <v>0</v>
      </c>
      <c r="Y604" s="101">
        <f t="shared" si="214"/>
        <v>0</v>
      </c>
      <c r="AQ604" s="3"/>
    </row>
    <row r="605" spans="5:43" x14ac:dyDescent="0.35">
      <c r="E605" s="352"/>
      <c r="F605" s="2" t="s">
        <v>986</v>
      </c>
      <c r="G605" t="s">
        <v>251</v>
      </c>
      <c r="J605" s="101">
        <f>J146</f>
        <v>0</v>
      </c>
      <c r="K605" s="101">
        <f t="shared" ref="K605:Y605" si="215">K146</f>
        <v>0</v>
      </c>
      <c r="L605" s="101">
        <f t="shared" si="215"/>
        <v>0</v>
      </c>
      <c r="M605" s="101">
        <f t="shared" si="215"/>
        <v>0</v>
      </c>
      <c r="N605" s="101">
        <f t="shared" si="215"/>
        <v>0</v>
      </c>
      <c r="O605" s="101">
        <f t="shared" si="215"/>
        <v>0</v>
      </c>
      <c r="P605" s="101">
        <f t="shared" si="215"/>
        <v>0</v>
      </c>
      <c r="Q605" s="101">
        <f t="shared" si="215"/>
        <v>0</v>
      </c>
      <c r="R605" s="101">
        <f t="shared" si="215"/>
        <v>0</v>
      </c>
      <c r="S605" s="101">
        <f t="shared" si="215"/>
        <v>0</v>
      </c>
      <c r="T605" s="101">
        <f t="shared" si="215"/>
        <v>0</v>
      </c>
      <c r="U605" s="101">
        <f t="shared" si="215"/>
        <v>0</v>
      </c>
      <c r="V605" s="101">
        <f t="shared" si="215"/>
        <v>0</v>
      </c>
      <c r="W605" s="101">
        <f t="shared" si="215"/>
        <v>0</v>
      </c>
      <c r="X605" s="101">
        <f t="shared" si="215"/>
        <v>0</v>
      </c>
      <c r="Y605" s="101">
        <f t="shared" si="215"/>
        <v>0</v>
      </c>
      <c r="AQ605" s="3"/>
    </row>
    <row r="606" spans="5:43" x14ac:dyDescent="0.35">
      <c r="E606" s="352" t="s">
        <v>253</v>
      </c>
      <c r="F606" s="353"/>
      <c r="J606" s="26"/>
      <c r="K606" s="26"/>
      <c r="L606" s="26"/>
      <c r="M606" s="26"/>
      <c r="N606" s="26"/>
      <c r="O606" s="26"/>
      <c r="P606" s="26"/>
      <c r="Q606" s="26"/>
      <c r="R606" s="26"/>
      <c r="S606" s="26"/>
      <c r="T606" s="26"/>
      <c r="U606" s="26"/>
      <c r="V606" s="26"/>
      <c r="W606" s="26"/>
      <c r="X606" s="26"/>
      <c r="Y606" s="26"/>
      <c r="AQ606" s="3"/>
    </row>
    <row r="607" spans="5:43" x14ac:dyDescent="0.35">
      <c r="E607" s="352"/>
      <c r="F607" s="353" t="s">
        <v>983</v>
      </c>
      <c r="G607" t="s">
        <v>254</v>
      </c>
      <c r="J607" s="131">
        <f>J111</f>
        <v>0</v>
      </c>
      <c r="K607" s="131">
        <f t="shared" ref="K607:Y607" si="216">K111</f>
        <v>0</v>
      </c>
      <c r="L607" s="131">
        <f t="shared" si="216"/>
        <v>0</v>
      </c>
      <c r="M607" s="131">
        <f t="shared" si="216"/>
        <v>0</v>
      </c>
      <c r="N607" s="131">
        <f t="shared" si="216"/>
        <v>0</v>
      </c>
      <c r="O607" s="131">
        <f t="shared" si="216"/>
        <v>0</v>
      </c>
      <c r="P607" s="131">
        <f t="shared" si="216"/>
        <v>0</v>
      </c>
      <c r="Q607" s="131">
        <f t="shared" si="216"/>
        <v>0</v>
      </c>
      <c r="R607" s="131">
        <f t="shared" si="216"/>
        <v>0</v>
      </c>
      <c r="S607" s="131">
        <f t="shared" si="216"/>
        <v>0</v>
      </c>
      <c r="T607" s="131">
        <f t="shared" si="216"/>
        <v>0</v>
      </c>
      <c r="U607" s="131">
        <f t="shared" si="216"/>
        <v>0</v>
      </c>
      <c r="V607" s="131">
        <f t="shared" si="216"/>
        <v>0</v>
      </c>
      <c r="W607" s="131">
        <f t="shared" si="216"/>
        <v>0</v>
      </c>
      <c r="X607" s="131">
        <f t="shared" si="216"/>
        <v>0</v>
      </c>
      <c r="Y607" s="131">
        <f t="shared" si="216"/>
        <v>0</v>
      </c>
      <c r="AQ607" s="3"/>
    </row>
    <row r="608" spans="5:43" x14ac:dyDescent="0.35">
      <c r="E608" s="352"/>
      <c r="F608" s="353" t="s">
        <v>984</v>
      </c>
      <c r="G608" t="s">
        <v>254</v>
      </c>
      <c r="J608" s="364">
        <f>J120</f>
        <v>0</v>
      </c>
      <c r="K608" s="364">
        <f t="shared" ref="K608:Y608" si="217">K120</f>
        <v>0</v>
      </c>
      <c r="L608" s="364">
        <f t="shared" si="217"/>
        <v>0</v>
      </c>
      <c r="M608" s="364">
        <f t="shared" si="217"/>
        <v>0</v>
      </c>
      <c r="N608" s="364">
        <f t="shared" si="217"/>
        <v>20.740566745371542</v>
      </c>
      <c r="O608" s="364">
        <f t="shared" si="217"/>
        <v>0</v>
      </c>
      <c r="P608" s="364">
        <f t="shared" si="217"/>
        <v>0</v>
      </c>
      <c r="Q608" s="364">
        <f t="shared" si="217"/>
        <v>0</v>
      </c>
      <c r="R608" s="364">
        <f t="shared" si="217"/>
        <v>0</v>
      </c>
      <c r="S608" s="364">
        <f t="shared" si="217"/>
        <v>0</v>
      </c>
      <c r="T608" s="364">
        <f t="shared" si="217"/>
        <v>0</v>
      </c>
      <c r="U608" s="364">
        <f t="shared" si="217"/>
        <v>0</v>
      </c>
      <c r="V608" s="364">
        <f t="shared" si="217"/>
        <v>0</v>
      </c>
      <c r="W608" s="364">
        <f t="shared" si="217"/>
        <v>0</v>
      </c>
      <c r="X608" s="364">
        <f t="shared" si="217"/>
        <v>0</v>
      </c>
      <c r="Y608" s="364">
        <f t="shared" si="217"/>
        <v>0</v>
      </c>
      <c r="AQ608" s="3"/>
    </row>
    <row r="609" spans="4:43" x14ac:dyDescent="0.35">
      <c r="E609" s="352"/>
      <c r="F609" s="353" t="s">
        <v>985</v>
      </c>
      <c r="G609" t="s">
        <v>254</v>
      </c>
      <c r="J609" s="364">
        <f>J129</f>
        <v>0</v>
      </c>
      <c r="K609" s="364">
        <f t="shared" ref="K609:Y609" si="218">K129</f>
        <v>0</v>
      </c>
      <c r="L609" s="364">
        <f t="shared" si="218"/>
        <v>0</v>
      </c>
      <c r="M609" s="364">
        <f t="shared" si="218"/>
        <v>0</v>
      </c>
      <c r="N609" s="364">
        <f t="shared" si="218"/>
        <v>21.308050380724307</v>
      </c>
      <c r="O609" s="364">
        <f t="shared" si="218"/>
        <v>0</v>
      </c>
      <c r="P609" s="364">
        <f t="shared" si="218"/>
        <v>0</v>
      </c>
      <c r="Q609" s="364">
        <f t="shared" si="218"/>
        <v>0</v>
      </c>
      <c r="R609" s="364">
        <f t="shared" si="218"/>
        <v>0</v>
      </c>
      <c r="S609" s="364">
        <f t="shared" si="218"/>
        <v>0</v>
      </c>
      <c r="T609" s="364">
        <f t="shared" si="218"/>
        <v>0</v>
      </c>
      <c r="U609" s="364">
        <f t="shared" si="218"/>
        <v>0</v>
      </c>
      <c r="V609" s="364">
        <f t="shared" si="218"/>
        <v>0</v>
      </c>
      <c r="W609" s="364">
        <f t="shared" si="218"/>
        <v>0</v>
      </c>
      <c r="X609" s="364">
        <f t="shared" si="218"/>
        <v>0</v>
      </c>
      <c r="Y609" s="364">
        <f t="shared" si="218"/>
        <v>0</v>
      </c>
      <c r="AQ609" s="3"/>
    </row>
    <row r="610" spans="4:43" x14ac:dyDescent="0.35">
      <c r="E610" s="352"/>
      <c r="F610" s="353" t="s">
        <v>987</v>
      </c>
      <c r="G610" t="s">
        <v>254</v>
      </c>
      <c r="J610" s="101">
        <f>J138</f>
        <v>0</v>
      </c>
      <c r="K610" s="101">
        <f t="shared" ref="K610:Y610" si="219">K138</f>
        <v>0</v>
      </c>
      <c r="L610" s="101">
        <f t="shared" si="219"/>
        <v>0</v>
      </c>
      <c r="M610" s="101">
        <f t="shared" si="219"/>
        <v>0</v>
      </c>
      <c r="N610" s="101">
        <f t="shared" si="219"/>
        <v>16.111244880129064</v>
      </c>
      <c r="O610" s="101">
        <f t="shared" si="219"/>
        <v>0</v>
      </c>
      <c r="P610" s="101">
        <f t="shared" si="219"/>
        <v>0</v>
      </c>
      <c r="Q610" s="101">
        <f t="shared" si="219"/>
        <v>0</v>
      </c>
      <c r="R610" s="101">
        <f t="shared" si="219"/>
        <v>0</v>
      </c>
      <c r="S610" s="101">
        <f t="shared" si="219"/>
        <v>0</v>
      </c>
      <c r="T610" s="101">
        <f t="shared" si="219"/>
        <v>0</v>
      </c>
      <c r="U610" s="101">
        <f t="shared" si="219"/>
        <v>0</v>
      </c>
      <c r="V610" s="101">
        <f t="shared" si="219"/>
        <v>0</v>
      </c>
      <c r="W610" s="101">
        <f t="shared" si="219"/>
        <v>0</v>
      </c>
      <c r="X610" s="101">
        <f t="shared" si="219"/>
        <v>0</v>
      </c>
      <c r="Y610" s="101">
        <f t="shared" si="219"/>
        <v>0</v>
      </c>
      <c r="AQ610" s="3"/>
    </row>
    <row r="611" spans="4:43" x14ac:dyDescent="0.35">
      <c r="E611" s="80"/>
      <c r="F611" s="354" t="s">
        <v>986</v>
      </c>
      <c r="G611" s="37" t="s">
        <v>254</v>
      </c>
      <c r="H611" s="37"/>
      <c r="I611" s="37"/>
      <c r="J611" s="364">
        <f>J147</f>
        <v>0</v>
      </c>
      <c r="K611" s="364">
        <f t="shared" ref="K611:Y611" si="220">K147</f>
        <v>0</v>
      </c>
      <c r="L611" s="364">
        <f t="shared" si="220"/>
        <v>0</v>
      </c>
      <c r="M611" s="364">
        <f t="shared" si="220"/>
        <v>0</v>
      </c>
      <c r="N611" s="364">
        <f t="shared" si="220"/>
        <v>43.853683461015763</v>
      </c>
      <c r="O611" s="364">
        <f t="shared" si="220"/>
        <v>0</v>
      </c>
      <c r="P611" s="364">
        <f t="shared" si="220"/>
        <v>0</v>
      </c>
      <c r="Q611" s="364">
        <f t="shared" si="220"/>
        <v>0</v>
      </c>
      <c r="R611" s="364">
        <f t="shared" si="220"/>
        <v>0</v>
      </c>
      <c r="S611" s="364">
        <f t="shared" si="220"/>
        <v>0</v>
      </c>
      <c r="T611" s="364">
        <f t="shared" si="220"/>
        <v>0</v>
      </c>
      <c r="U611" s="364">
        <f t="shared" si="220"/>
        <v>0</v>
      </c>
      <c r="V611" s="364">
        <f t="shared" si="220"/>
        <v>0</v>
      </c>
      <c r="W611" s="364">
        <f t="shared" si="220"/>
        <v>0</v>
      </c>
      <c r="X611" s="364">
        <f t="shared" si="220"/>
        <v>0</v>
      </c>
      <c r="Y611" s="364">
        <f t="shared" si="220"/>
        <v>0</v>
      </c>
      <c r="AQ611" s="3"/>
    </row>
    <row r="612" spans="4:43" x14ac:dyDescent="0.35">
      <c r="AQ612" s="3"/>
    </row>
    <row r="613" spans="4:43" x14ac:dyDescent="0.35">
      <c r="D613" s="32" t="s">
        <v>1137</v>
      </c>
      <c r="AQ613" s="3"/>
    </row>
    <row r="614" spans="4:43" x14ac:dyDescent="0.35">
      <c r="E614" s="78" t="s">
        <v>247</v>
      </c>
      <c r="F614" s="23"/>
      <c r="G614" s="23"/>
      <c r="H614" s="23"/>
      <c r="I614" s="23"/>
      <c r="J614" s="23"/>
      <c r="K614" s="23"/>
      <c r="L614" s="23"/>
      <c r="M614" s="23"/>
      <c r="N614" s="23"/>
      <c r="O614" s="23"/>
      <c r="P614" s="23"/>
      <c r="Q614" s="23"/>
      <c r="R614" s="23"/>
      <c r="S614" s="23"/>
      <c r="T614" s="23"/>
      <c r="U614" s="23"/>
      <c r="V614" s="23"/>
      <c r="W614" s="23"/>
      <c r="X614" s="23"/>
      <c r="Y614" s="23"/>
      <c r="AQ614" s="3"/>
    </row>
    <row r="615" spans="4:43" x14ac:dyDescent="0.35">
      <c r="E615" s="352"/>
      <c r="F615" s="2" t="s">
        <v>983</v>
      </c>
      <c r="G615" t="s">
        <v>207</v>
      </c>
      <c r="J615" s="131">
        <f>J152</f>
        <v>0</v>
      </c>
      <c r="K615" s="131">
        <f t="shared" ref="K615:Y615" si="221">K152</f>
        <v>0</v>
      </c>
      <c r="L615" s="131">
        <f t="shared" si="221"/>
        <v>0</v>
      </c>
      <c r="M615" s="131">
        <f t="shared" si="221"/>
        <v>0</v>
      </c>
      <c r="N615" s="131">
        <f t="shared" si="221"/>
        <v>0</v>
      </c>
      <c r="O615" s="131">
        <f t="shared" si="221"/>
        <v>0</v>
      </c>
      <c r="P615" s="131">
        <f t="shared" si="221"/>
        <v>0</v>
      </c>
      <c r="Q615" s="131">
        <f t="shared" si="221"/>
        <v>0</v>
      </c>
      <c r="R615" s="131">
        <f t="shared" si="221"/>
        <v>0</v>
      </c>
      <c r="S615" s="131">
        <f t="shared" si="221"/>
        <v>0</v>
      </c>
      <c r="T615" s="131">
        <f t="shared" si="221"/>
        <v>0</v>
      </c>
      <c r="U615" s="131">
        <f t="shared" si="221"/>
        <v>0</v>
      </c>
      <c r="V615" s="131">
        <f t="shared" si="221"/>
        <v>0</v>
      </c>
      <c r="W615" s="131">
        <f t="shared" si="221"/>
        <v>0</v>
      </c>
      <c r="X615" s="131">
        <f t="shared" si="221"/>
        <v>0</v>
      </c>
      <c r="Y615" s="131">
        <f t="shared" si="221"/>
        <v>0</v>
      </c>
      <c r="AQ615" s="3"/>
    </row>
    <row r="616" spans="4:43" x14ac:dyDescent="0.35">
      <c r="E616" s="352"/>
      <c r="F616" s="2" t="s">
        <v>984</v>
      </c>
      <c r="G616" t="s">
        <v>207</v>
      </c>
      <c r="J616" s="364">
        <f>J161</f>
        <v>2739.2268624643116</v>
      </c>
      <c r="K616" s="364">
        <f t="shared" ref="K616:Y616" si="222">K161</f>
        <v>0</v>
      </c>
      <c r="L616" s="364">
        <f t="shared" si="222"/>
        <v>4.5522385547304216</v>
      </c>
      <c r="M616" s="364">
        <f t="shared" si="222"/>
        <v>0</v>
      </c>
      <c r="N616" s="364">
        <f t="shared" si="222"/>
        <v>122.56925388587857</v>
      </c>
      <c r="O616" s="364">
        <f t="shared" si="222"/>
        <v>5.6441886745225016</v>
      </c>
      <c r="P616" s="364">
        <f t="shared" si="222"/>
        <v>0.66105333572489777</v>
      </c>
      <c r="Q616" s="364">
        <f t="shared" si="222"/>
        <v>0</v>
      </c>
      <c r="R616" s="364">
        <f t="shared" si="222"/>
        <v>0</v>
      </c>
      <c r="S616" s="364">
        <f t="shared" si="222"/>
        <v>0</v>
      </c>
      <c r="T616" s="364">
        <f t="shared" si="222"/>
        <v>0</v>
      </c>
      <c r="U616" s="364">
        <f t="shared" si="222"/>
        <v>0</v>
      </c>
      <c r="V616" s="364">
        <f t="shared" si="222"/>
        <v>0</v>
      </c>
      <c r="W616" s="364">
        <f t="shared" si="222"/>
        <v>0</v>
      </c>
      <c r="X616" s="364">
        <f t="shared" si="222"/>
        <v>0</v>
      </c>
      <c r="Y616" s="364">
        <f t="shared" si="222"/>
        <v>0</v>
      </c>
      <c r="AQ616" s="3"/>
    </row>
    <row r="617" spans="4:43" x14ac:dyDescent="0.35">
      <c r="E617" s="352"/>
      <c r="F617" s="2" t="s">
        <v>985</v>
      </c>
      <c r="G617" t="s">
        <v>207</v>
      </c>
      <c r="J617" s="364">
        <f>J170</f>
        <v>0</v>
      </c>
      <c r="K617" s="364">
        <f t="shared" ref="K617:Y617" si="223">K170</f>
        <v>0</v>
      </c>
      <c r="L617" s="364">
        <f t="shared" si="223"/>
        <v>21.851644733095917</v>
      </c>
      <c r="M617" s="364">
        <f t="shared" si="223"/>
        <v>0</v>
      </c>
      <c r="N617" s="364">
        <f t="shared" si="223"/>
        <v>125.92287708391179</v>
      </c>
      <c r="O617" s="364">
        <f t="shared" si="223"/>
        <v>3.4619146204801168</v>
      </c>
      <c r="P617" s="364">
        <f t="shared" si="223"/>
        <v>1.838095757152941</v>
      </c>
      <c r="Q617" s="364">
        <f t="shared" si="223"/>
        <v>0</v>
      </c>
      <c r="R617" s="364">
        <f t="shared" si="223"/>
        <v>0</v>
      </c>
      <c r="S617" s="364">
        <f t="shared" si="223"/>
        <v>0</v>
      </c>
      <c r="T617" s="364">
        <f t="shared" si="223"/>
        <v>0</v>
      </c>
      <c r="U617" s="364">
        <f t="shared" si="223"/>
        <v>0</v>
      </c>
      <c r="V617" s="364">
        <f t="shared" si="223"/>
        <v>0</v>
      </c>
      <c r="W617" s="364">
        <f t="shared" si="223"/>
        <v>0</v>
      </c>
      <c r="X617" s="364">
        <f t="shared" si="223"/>
        <v>0</v>
      </c>
      <c r="Y617" s="364">
        <f t="shared" si="223"/>
        <v>0</v>
      </c>
      <c r="AQ617" s="3"/>
    </row>
    <row r="618" spans="4:43" x14ac:dyDescent="0.35">
      <c r="E618" s="352"/>
      <c r="F618" s="2" t="s">
        <v>987</v>
      </c>
      <c r="G618" t="s">
        <v>207</v>
      </c>
      <c r="J618" s="101">
        <f>J179</f>
        <v>0</v>
      </c>
      <c r="K618" s="101">
        <f t="shared" ref="K618:Y618" si="224">K179</f>
        <v>0</v>
      </c>
      <c r="L618" s="101">
        <f t="shared" si="224"/>
        <v>30.446445340874984</v>
      </c>
      <c r="M618" s="101">
        <f t="shared" si="224"/>
        <v>0</v>
      </c>
      <c r="N618" s="101">
        <f t="shared" si="224"/>
        <v>95.211634685478558</v>
      </c>
      <c r="O618" s="101">
        <f t="shared" si="224"/>
        <v>10.256381349878021</v>
      </c>
      <c r="P618" s="101">
        <f t="shared" si="224"/>
        <v>1.5389823276936789</v>
      </c>
      <c r="Q618" s="101">
        <f t="shared" si="224"/>
        <v>0</v>
      </c>
      <c r="R618" s="101">
        <f t="shared" si="224"/>
        <v>0</v>
      </c>
      <c r="S618" s="101">
        <f t="shared" si="224"/>
        <v>0</v>
      </c>
      <c r="T618" s="101">
        <f t="shared" si="224"/>
        <v>0</v>
      </c>
      <c r="U618" s="101">
        <f t="shared" si="224"/>
        <v>0</v>
      </c>
      <c r="V618" s="101">
        <f t="shared" si="224"/>
        <v>0</v>
      </c>
      <c r="W618" s="101">
        <f t="shared" si="224"/>
        <v>0</v>
      </c>
      <c r="X618" s="101">
        <f t="shared" si="224"/>
        <v>0</v>
      </c>
      <c r="Y618" s="101">
        <f t="shared" si="224"/>
        <v>0</v>
      </c>
      <c r="AQ618" s="3"/>
    </row>
    <row r="619" spans="4:43" x14ac:dyDescent="0.35">
      <c r="E619" s="352"/>
      <c r="F619" s="2" t="s">
        <v>986</v>
      </c>
      <c r="G619" t="s">
        <v>207</v>
      </c>
      <c r="J619" s="101">
        <f>J188</f>
        <v>0</v>
      </c>
      <c r="K619" s="101">
        <f t="shared" ref="K619:Y619" si="225">K188</f>
        <v>0</v>
      </c>
      <c r="L619" s="101">
        <f t="shared" si="225"/>
        <v>80.576673964797763</v>
      </c>
      <c r="M619" s="101">
        <f t="shared" si="225"/>
        <v>0</v>
      </c>
      <c r="N619" s="101">
        <f t="shared" si="225"/>
        <v>259.15942066355075</v>
      </c>
      <c r="O619" s="101">
        <f t="shared" si="225"/>
        <v>80.103539739162784</v>
      </c>
      <c r="P619" s="101">
        <f t="shared" si="225"/>
        <v>3.0883957529074912</v>
      </c>
      <c r="Q619" s="101">
        <f t="shared" si="225"/>
        <v>0</v>
      </c>
      <c r="R619" s="101">
        <f t="shared" si="225"/>
        <v>0</v>
      </c>
      <c r="S619" s="101">
        <f t="shared" si="225"/>
        <v>0</v>
      </c>
      <c r="T619" s="101">
        <f t="shared" si="225"/>
        <v>0</v>
      </c>
      <c r="U619" s="101">
        <f t="shared" si="225"/>
        <v>0</v>
      </c>
      <c r="V619" s="101">
        <f t="shared" si="225"/>
        <v>0</v>
      </c>
      <c r="W619" s="101">
        <f t="shared" si="225"/>
        <v>0</v>
      </c>
      <c r="X619" s="101">
        <f t="shared" si="225"/>
        <v>0</v>
      </c>
      <c r="Y619" s="101">
        <f t="shared" si="225"/>
        <v>0</v>
      </c>
      <c r="AQ619" s="3"/>
    </row>
    <row r="620" spans="4:43" x14ac:dyDescent="0.35">
      <c r="E620" s="72" t="s">
        <v>248</v>
      </c>
      <c r="F620" s="2"/>
      <c r="J620" s="26"/>
      <c r="K620" s="26"/>
      <c r="L620" s="26"/>
      <c r="M620" s="26"/>
      <c r="N620" s="26"/>
      <c r="O620" s="26"/>
      <c r="P620" s="26"/>
      <c r="Q620" s="26"/>
      <c r="R620" s="26"/>
      <c r="S620" s="26"/>
      <c r="T620" s="26"/>
      <c r="U620" s="26"/>
      <c r="V620" s="26"/>
      <c r="W620" s="26"/>
      <c r="X620" s="26"/>
      <c r="Y620" s="26"/>
      <c r="AQ620" s="3"/>
    </row>
    <row r="621" spans="4:43" x14ac:dyDescent="0.35">
      <c r="E621" s="352"/>
      <c r="F621" s="2" t="s">
        <v>983</v>
      </c>
      <c r="G621" t="s">
        <v>207</v>
      </c>
      <c r="J621" s="131">
        <f>J153</f>
        <v>0</v>
      </c>
      <c r="K621" s="131">
        <f t="shared" ref="K621:Y621" si="226">K153</f>
        <v>0</v>
      </c>
      <c r="L621" s="131">
        <f t="shared" si="226"/>
        <v>0</v>
      </c>
      <c r="M621" s="131">
        <f t="shared" si="226"/>
        <v>0</v>
      </c>
      <c r="N621" s="131">
        <f t="shared" si="226"/>
        <v>0</v>
      </c>
      <c r="O621" s="131">
        <f t="shared" si="226"/>
        <v>0</v>
      </c>
      <c r="P621" s="131">
        <f t="shared" si="226"/>
        <v>0</v>
      </c>
      <c r="Q621" s="131">
        <f t="shared" si="226"/>
        <v>0</v>
      </c>
      <c r="R621" s="131">
        <f t="shared" si="226"/>
        <v>0</v>
      </c>
      <c r="S621" s="131">
        <f t="shared" si="226"/>
        <v>0</v>
      </c>
      <c r="T621" s="131">
        <f t="shared" si="226"/>
        <v>0</v>
      </c>
      <c r="U621" s="131">
        <f t="shared" si="226"/>
        <v>0</v>
      </c>
      <c r="V621" s="131">
        <f t="shared" si="226"/>
        <v>0</v>
      </c>
      <c r="W621" s="131">
        <f t="shared" si="226"/>
        <v>0</v>
      </c>
      <c r="X621" s="131">
        <f t="shared" si="226"/>
        <v>0</v>
      </c>
      <c r="Y621" s="131">
        <f t="shared" si="226"/>
        <v>0</v>
      </c>
      <c r="AQ621" s="3"/>
    </row>
    <row r="622" spans="4:43" x14ac:dyDescent="0.35">
      <c r="E622" s="352"/>
      <c r="F622" s="2" t="s">
        <v>984</v>
      </c>
      <c r="G622" t="s">
        <v>207</v>
      </c>
      <c r="J622" s="364">
        <f>J162</f>
        <v>10465.580404895036</v>
      </c>
      <c r="K622" s="364">
        <f t="shared" ref="K622:Y622" si="227">K162</f>
        <v>0</v>
      </c>
      <c r="L622" s="364">
        <f t="shared" si="227"/>
        <v>24.337727229138469</v>
      </c>
      <c r="M622" s="364">
        <f t="shared" si="227"/>
        <v>0</v>
      </c>
      <c r="N622" s="364">
        <f t="shared" si="227"/>
        <v>927.9349906911998</v>
      </c>
      <c r="O622" s="364">
        <f t="shared" si="227"/>
        <v>25.033464063710976</v>
      </c>
      <c r="P622" s="364">
        <f t="shared" si="227"/>
        <v>2.7760263821069309</v>
      </c>
      <c r="Q622" s="364">
        <f t="shared" si="227"/>
        <v>0.65693548387096823</v>
      </c>
      <c r="R622" s="364">
        <f t="shared" si="227"/>
        <v>0</v>
      </c>
      <c r="S622" s="364">
        <f t="shared" si="227"/>
        <v>0</v>
      </c>
      <c r="T622" s="364">
        <f t="shared" si="227"/>
        <v>0</v>
      </c>
      <c r="U622" s="364">
        <f t="shared" si="227"/>
        <v>0</v>
      </c>
      <c r="V622" s="364">
        <f t="shared" si="227"/>
        <v>0</v>
      </c>
      <c r="W622" s="364">
        <f t="shared" si="227"/>
        <v>0</v>
      </c>
      <c r="X622" s="364">
        <f t="shared" si="227"/>
        <v>0</v>
      </c>
      <c r="Y622" s="364">
        <f t="shared" si="227"/>
        <v>0</v>
      </c>
      <c r="AQ622" s="3"/>
    </row>
    <row r="623" spans="4:43" x14ac:dyDescent="0.35">
      <c r="E623" s="352"/>
      <c r="F623" s="2" t="s">
        <v>985</v>
      </c>
      <c r="G623" t="s">
        <v>207</v>
      </c>
      <c r="J623" s="364">
        <f>J171</f>
        <v>0</v>
      </c>
      <c r="K623" s="364">
        <f t="shared" ref="K623:Y623" si="228">K171</f>
        <v>0</v>
      </c>
      <c r="L623" s="364">
        <f t="shared" si="228"/>
        <v>116.82590062629582</v>
      </c>
      <c r="M623" s="364">
        <f t="shared" si="228"/>
        <v>0</v>
      </c>
      <c r="N623" s="364">
        <f t="shared" si="228"/>
        <v>953.32426420302363</v>
      </c>
      <c r="O623" s="364">
        <f t="shared" si="228"/>
        <v>15.354503586072338</v>
      </c>
      <c r="P623" s="364">
        <f t="shared" si="228"/>
        <v>7.7188965533317635</v>
      </c>
      <c r="Q623" s="364">
        <f t="shared" si="228"/>
        <v>0</v>
      </c>
      <c r="R623" s="364">
        <f t="shared" si="228"/>
        <v>0</v>
      </c>
      <c r="S623" s="364">
        <f t="shared" si="228"/>
        <v>0</v>
      </c>
      <c r="T623" s="364">
        <f t="shared" si="228"/>
        <v>0</v>
      </c>
      <c r="U623" s="364">
        <f t="shared" si="228"/>
        <v>0</v>
      </c>
      <c r="V623" s="364">
        <f t="shared" si="228"/>
        <v>0</v>
      </c>
      <c r="W623" s="364">
        <f t="shared" si="228"/>
        <v>0</v>
      </c>
      <c r="X623" s="364">
        <f t="shared" si="228"/>
        <v>0</v>
      </c>
      <c r="Y623" s="364">
        <f t="shared" si="228"/>
        <v>0</v>
      </c>
      <c r="AQ623" s="3"/>
    </row>
    <row r="624" spans="4:43" x14ac:dyDescent="0.35">
      <c r="E624" s="352"/>
      <c r="F624" s="2" t="s">
        <v>987</v>
      </c>
      <c r="G624" t="s">
        <v>207</v>
      </c>
      <c r="J624" s="101">
        <f>J180</f>
        <v>0</v>
      </c>
      <c r="K624" s="101">
        <f t="shared" ref="K624:Y624" si="229">K180</f>
        <v>0</v>
      </c>
      <c r="L624" s="101">
        <f t="shared" si="229"/>
        <v>162.77646105191212</v>
      </c>
      <c r="M624" s="101">
        <f t="shared" si="229"/>
        <v>0</v>
      </c>
      <c r="N624" s="101">
        <f t="shared" si="229"/>
        <v>720.81867633643537</v>
      </c>
      <c r="O624" s="101">
        <f t="shared" si="229"/>
        <v>45.489753931304968</v>
      </c>
      <c r="P624" s="101">
        <f t="shared" si="229"/>
        <v>6.4628000683017772</v>
      </c>
      <c r="Q624" s="101">
        <f t="shared" si="229"/>
        <v>0</v>
      </c>
      <c r="R624" s="101">
        <f t="shared" si="229"/>
        <v>0</v>
      </c>
      <c r="S624" s="101">
        <f t="shared" si="229"/>
        <v>0</v>
      </c>
      <c r="T624" s="101">
        <f t="shared" si="229"/>
        <v>0</v>
      </c>
      <c r="U624" s="101">
        <f t="shared" si="229"/>
        <v>0</v>
      </c>
      <c r="V624" s="101">
        <f t="shared" si="229"/>
        <v>0</v>
      </c>
      <c r="W624" s="101">
        <f t="shared" si="229"/>
        <v>0</v>
      </c>
      <c r="X624" s="101">
        <f t="shared" si="229"/>
        <v>0</v>
      </c>
      <c r="Y624" s="101">
        <f t="shared" si="229"/>
        <v>0</v>
      </c>
      <c r="AQ624" s="3"/>
    </row>
    <row r="625" spans="5:43" x14ac:dyDescent="0.35">
      <c r="E625" s="352"/>
      <c r="F625" s="2" t="s">
        <v>986</v>
      </c>
      <c r="G625" t="s">
        <v>207</v>
      </c>
      <c r="J625" s="101">
        <f>J189</f>
        <v>0</v>
      </c>
      <c r="K625" s="101">
        <f t="shared" ref="K625:Y625" si="230">K189</f>
        <v>0</v>
      </c>
      <c r="L625" s="101">
        <f t="shared" si="230"/>
        <v>430.78874017897385</v>
      </c>
      <c r="M625" s="101">
        <f t="shared" si="230"/>
        <v>0</v>
      </c>
      <c r="N625" s="101">
        <f t="shared" si="230"/>
        <v>1962.0180997828136</v>
      </c>
      <c r="O625" s="101">
        <f t="shared" si="230"/>
        <v>355.28030671405958</v>
      </c>
      <c r="P625" s="101">
        <f t="shared" si="230"/>
        <v>12.969404471814217</v>
      </c>
      <c r="Q625" s="101">
        <f t="shared" si="230"/>
        <v>0</v>
      </c>
      <c r="R625" s="101">
        <f t="shared" si="230"/>
        <v>0</v>
      </c>
      <c r="S625" s="101">
        <f t="shared" si="230"/>
        <v>0</v>
      </c>
      <c r="T625" s="101">
        <f t="shared" si="230"/>
        <v>0</v>
      </c>
      <c r="U625" s="101">
        <f t="shared" si="230"/>
        <v>0</v>
      </c>
      <c r="V625" s="101">
        <f t="shared" si="230"/>
        <v>0</v>
      </c>
      <c r="W625" s="101">
        <f t="shared" si="230"/>
        <v>0</v>
      </c>
      <c r="X625" s="101">
        <f t="shared" si="230"/>
        <v>0</v>
      </c>
      <c r="Y625" s="101">
        <f t="shared" si="230"/>
        <v>0</v>
      </c>
      <c r="AQ625" s="3"/>
    </row>
    <row r="626" spans="5:43" x14ac:dyDescent="0.35">
      <c r="E626" s="72" t="s">
        <v>249</v>
      </c>
      <c r="F626" s="2"/>
      <c r="J626" s="26"/>
      <c r="K626" s="26"/>
      <c r="L626" s="26"/>
      <c r="M626" s="26"/>
      <c r="N626" s="26"/>
      <c r="O626" s="26"/>
      <c r="P626" s="26"/>
      <c r="Q626" s="26"/>
      <c r="R626" s="26"/>
      <c r="S626" s="26"/>
      <c r="T626" s="26"/>
      <c r="U626" s="26"/>
      <c r="V626" s="26"/>
      <c r="W626" s="26"/>
      <c r="X626" s="26"/>
      <c r="Y626" s="26"/>
      <c r="AQ626" s="3"/>
    </row>
    <row r="627" spans="5:43" x14ac:dyDescent="0.35">
      <c r="E627" s="352"/>
      <c r="F627" s="2" t="s">
        <v>983</v>
      </c>
      <c r="G627" t="s">
        <v>207</v>
      </c>
      <c r="J627" s="131">
        <f>J154</f>
        <v>0</v>
      </c>
      <c r="K627" s="131">
        <f t="shared" ref="K627:Y627" si="231">K154</f>
        <v>0</v>
      </c>
      <c r="L627" s="131">
        <f t="shared" si="231"/>
        <v>0</v>
      </c>
      <c r="M627" s="131">
        <f t="shared" si="231"/>
        <v>0</v>
      </c>
      <c r="N627" s="131">
        <f t="shared" si="231"/>
        <v>0</v>
      </c>
      <c r="O627" s="131">
        <f t="shared" si="231"/>
        <v>0</v>
      </c>
      <c r="P627" s="131">
        <f t="shared" si="231"/>
        <v>0</v>
      </c>
      <c r="Q627" s="131">
        <f t="shared" si="231"/>
        <v>0</v>
      </c>
      <c r="R627" s="131">
        <f t="shared" si="231"/>
        <v>0</v>
      </c>
      <c r="S627" s="131">
        <f t="shared" si="231"/>
        <v>0</v>
      </c>
      <c r="T627" s="131">
        <f t="shared" si="231"/>
        <v>0</v>
      </c>
      <c r="U627" s="131">
        <f t="shared" si="231"/>
        <v>0</v>
      </c>
      <c r="V627" s="131">
        <f t="shared" si="231"/>
        <v>0</v>
      </c>
      <c r="W627" s="131">
        <f t="shared" si="231"/>
        <v>0</v>
      </c>
      <c r="X627" s="131">
        <f t="shared" si="231"/>
        <v>0</v>
      </c>
      <c r="Y627" s="131">
        <f t="shared" si="231"/>
        <v>0</v>
      </c>
      <c r="AQ627" s="3"/>
    </row>
    <row r="628" spans="5:43" x14ac:dyDescent="0.35">
      <c r="E628" s="352"/>
      <c r="F628" s="2" t="s">
        <v>984</v>
      </c>
      <c r="G628" t="s">
        <v>207</v>
      </c>
      <c r="J628" s="364">
        <f>J163</f>
        <v>7996.9438121945923</v>
      </c>
      <c r="K628" s="364">
        <f t="shared" ref="K628:Y628" si="232">K163</f>
        <v>0</v>
      </c>
      <c r="L628" s="364">
        <f t="shared" si="232"/>
        <v>13.54348428198894</v>
      </c>
      <c r="M628" s="364">
        <f t="shared" si="232"/>
        <v>0</v>
      </c>
      <c r="N628" s="364">
        <f t="shared" si="232"/>
        <v>771.32540814144784</v>
      </c>
      <c r="O628" s="364">
        <f t="shared" si="232"/>
        <v>27.488787649244045</v>
      </c>
      <c r="P628" s="364">
        <f t="shared" si="232"/>
        <v>2.1244230506994759</v>
      </c>
      <c r="Q628" s="364">
        <f t="shared" si="232"/>
        <v>0.37541935483870986</v>
      </c>
      <c r="R628" s="364">
        <f t="shared" si="232"/>
        <v>0</v>
      </c>
      <c r="S628" s="364">
        <f t="shared" si="232"/>
        <v>0</v>
      </c>
      <c r="T628" s="364">
        <f t="shared" si="232"/>
        <v>0</v>
      </c>
      <c r="U628" s="364">
        <f t="shared" si="232"/>
        <v>0</v>
      </c>
      <c r="V628" s="364">
        <f t="shared" si="232"/>
        <v>0</v>
      </c>
      <c r="W628" s="364">
        <f t="shared" si="232"/>
        <v>0</v>
      </c>
      <c r="X628" s="364">
        <f t="shared" si="232"/>
        <v>0</v>
      </c>
      <c r="Y628" s="364">
        <f t="shared" si="232"/>
        <v>0</v>
      </c>
      <c r="AQ628" s="3"/>
    </row>
    <row r="629" spans="5:43" x14ac:dyDescent="0.35">
      <c r="E629" s="352"/>
      <c r="F629" s="2" t="s">
        <v>985</v>
      </c>
      <c r="G629" t="s">
        <v>207</v>
      </c>
      <c r="J629" s="364">
        <f>J172</f>
        <v>0</v>
      </c>
      <c r="K629" s="364">
        <f t="shared" ref="K629:Y629" si="233">K172</f>
        <v>0</v>
      </c>
      <c r="L629" s="364">
        <f t="shared" si="233"/>
        <v>65.01140118651287</v>
      </c>
      <c r="M629" s="364">
        <f t="shared" si="233"/>
        <v>0</v>
      </c>
      <c r="N629" s="364">
        <f t="shared" si="233"/>
        <v>792.42967940007884</v>
      </c>
      <c r="O629" s="364">
        <f t="shared" si="233"/>
        <v>16.86049870936359</v>
      </c>
      <c r="P629" s="364">
        <f t="shared" si="233"/>
        <v>5.9070770615000185</v>
      </c>
      <c r="Q629" s="364">
        <f t="shared" si="233"/>
        <v>0</v>
      </c>
      <c r="R629" s="364">
        <f t="shared" si="233"/>
        <v>0</v>
      </c>
      <c r="S629" s="364">
        <f t="shared" si="233"/>
        <v>0</v>
      </c>
      <c r="T629" s="364">
        <f t="shared" si="233"/>
        <v>0</v>
      </c>
      <c r="U629" s="364">
        <f t="shared" si="233"/>
        <v>0</v>
      </c>
      <c r="V629" s="364">
        <f t="shared" si="233"/>
        <v>0</v>
      </c>
      <c r="W629" s="364">
        <f t="shared" si="233"/>
        <v>0</v>
      </c>
      <c r="X629" s="364">
        <f t="shared" si="233"/>
        <v>0</v>
      </c>
      <c r="Y629" s="364">
        <f t="shared" si="233"/>
        <v>0</v>
      </c>
      <c r="AQ629" s="3"/>
    </row>
    <row r="630" spans="5:43" x14ac:dyDescent="0.35">
      <c r="E630" s="352"/>
      <c r="F630" s="2" t="s">
        <v>987</v>
      </c>
      <c r="G630" t="s">
        <v>207</v>
      </c>
      <c r="J630" s="101">
        <f>J181</f>
        <v>0</v>
      </c>
      <c r="K630" s="101">
        <f t="shared" ref="K630:Y630" si="234">K181</f>
        <v>0</v>
      </c>
      <c r="L630" s="101">
        <f t="shared" si="234"/>
        <v>90.582017826830409</v>
      </c>
      <c r="M630" s="101">
        <f t="shared" si="234"/>
        <v>0</v>
      </c>
      <c r="N630" s="101">
        <f t="shared" si="234"/>
        <v>599.16455926189042</v>
      </c>
      <c r="O630" s="101">
        <f t="shared" si="234"/>
        <v>49.951464282032653</v>
      </c>
      <c r="P630" s="101">
        <f t="shared" si="234"/>
        <v>4.9458180677454324</v>
      </c>
      <c r="Q630" s="101">
        <f t="shared" si="234"/>
        <v>0</v>
      </c>
      <c r="R630" s="101">
        <f t="shared" si="234"/>
        <v>0</v>
      </c>
      <c r="S630" s="101">
        <f t="shared" si="234"/>
        <v>0</v>
      </c>
      <c r="T630" s="101">
        <f t="shared" si="234"/>
        <v>0</v>
      </c>
      <c r="U630" s="101">
        <f t="shared" si="234"/>
        <v>0</v>
      </c>
      <c r="V630" s="101">
        <f t="shared" si="234"/>
        <v>0</v>
      </c>
      <c r="W630" s="101">
        <f t="shared" si="234"/>
        <v>0</v>
      </c>
      <c r="X630" s="101">
        <f t="shared" si="234"/>
        <v>0</v>
      </c>
      <c r="Y630" s="101">
        <f t="shared" si="234"/>
        <v>0</v>
      </c>
      <c r="AQ630" s="3"/>
    </row>
    <row r="631" spans="5:43" x14ac:dyDescent="0.35">
      <c r="E631" s="352"/>
      <c r="F631" s="2" t="s">
        <v>986</v>
      </c>
      <c r="G631" t="s">
        <v>207</v>
      </c>
      <c r="J631" s="101">
        <f>J190</f>
        <v>0</v>
      </c>
      <c r="K631" s="101">
        <f t="shared" ref="K631:Y631" si="235">K190</f>
        <v>0</v>
      </c>
      <c r="L631" s="101">
        <f t="shared" si="235"/>
        <v>239.7257753997057</v>
      </c>
      <c r="M631" s="101">
        <f t="shared" si="235"/>
        <v>0</v>
      </c>
      <c r="N631" s="101">
        <f t="shared" si="235"/>
        <v>1630.8840886241608</v>
      </c>
      <c r="O631" s="101">
        <f t="shared" si="235"/>
        <v>390.12678718237794</v>
      </c>
      <c r="P631" s="101">
        <f t="shared" si="235"/>
        <v>9.9251584896161411</v>
      </c>
      <c r="Q631" s="101">
        <f t="shared" si="235"/>
        <v>0</v>
      </c>
      <c r="R631" s="101">
        <f t="shared" si="235"/>
        <v>0</v>
      </c>
      <c r="S631" s="101">
        <f t="shared" si="235"/>
        <v>0</v>
      </c>
      <c r="T631" s="101">
        <f t="shared" si="235"/>
        <v>0</v>
      </c>
      <c r="U631" s="101">
        <f t="shared" si="235"/>
        <v>0</v>
      </c>
      <c r="V631" s="101">
        <f t="shared" si="235"/>
        <v>0</v>
      </c>
      <c r="W631" s="101">
        <f t="shared" si="235"/>
        <v>0</v>
      </c>
      <c r="X631" s="101">
        <f t="shared" si="235"/>
        <v>0</v>
      </c>
      <c r="Y631" s="101">
        <f t="shared" si="235"/>
        <v>0</v>
      </c>
      <c r="AQ631" s="3"/>
    </row>
    <row r="632" spans="5:43" x14ac:dyDescent="0.35">
      <c r="E632" s="72" t="s">
        <v>212</v>
      </c>
      <c r="F632" s="2"/>
      <c r="J632" s="26"/>
      <c r="K632" s="26"/>
      <c r="L632" s="26"/>
      <c r="M632" s="26"/>
      <c r="N632" s="26"/>
      <c r="O632" s="26"/>
      <c r="P632" s="26"/>
      <c r="Q632" s="26"/>
      <c r="R632" s="26"/>
      <c r="S632" s="26"/>
      <c r="T632" s="26"/>
      <c r="U632" s="26"/>
      <c r="V632" s="26"/>
      <c r="W632" s="26"/>
      <c r="X632" s="26"/>
      <c r="Y632" s="26"/>
      <c r="AQ632" s="3"/>
    </row>
    <row r="633" spans="5:43" x14ac:dyDescent="0.35">
      <c r="E633" s="352"/>
      <c r="F633" s="2" t="s">
        <v>983</v>
      </c>
      <c r="G633" t="s">
        <v>212</v>
      </c>
      <c r="J633" s="131">
        <f>J155</f>
        <v>0</v>
      </c>
      <c r="K633" s="131">
        <f t="shared" ref="K633:Y633" si="236">K155</f>
        <v>0</v>
      </c>
      <c r="L633" s="131">
        <f t="shared" si="236"/>
        <v>0</v>
      </c>
      <c r="M633" s="131">
        <f t="shared" si="236"/>
        <v>0</v>
      </c>
      <c r="N633" s="131">
        <f t="shared" si="236"/>
        <v>0</v>
      </c>
      <c r="O633" s="131">
        <f t="shared" si="236"/>
        <v>0</v>
      </c>
      <c r="P633" s="131">
        <f t="shared" si="236"/>
        <v>0</v>
      </c>
      <c r="Q633" s="131">
        <f t="shared" si="236"/>
        <v>0</v>
      </c>
      <c r="R633" s="131">
        <f t="shared" si="236"/>
        <v>0</v>
      </c>
      <c r="S633" s="131">
        <f t="shared" si="236"/>
        <v>0</v>
      </c>
      <c r="T633" s="131">
        <f t="shared" si="236"/>
        <v>0</v>
      </c>
      <c r="U633" s="131">
        <f t="shared" si="236"/>
        <v>0</v>
      </c>
      <c r="V633" s="131">
        <f t="shared" si="236"/>
        <v>0</v>
      </c>
      <c r="W633" s="131">
        <f t="shared" si="236"/>
        <v>0</v>
      </c>
      <c r="X633" s="131">
        <f t="shared" si="236"/>
        <v>0</v>
      </c>
      <c r="Y633" s="131">
        <f t="shared" si="236"/>
        <v>0</v>
      </c>
      <c r="AQ633" s="3"/>
    </row>
    <row r="634" spans="5:43" x14ac:dyDescent="0.35">
      <c r="E634" s="352"/>
      <c r="F634" s="2" t="s">
        <v>984</v>
      </c>
      <c r="G634" t="s">
        <v>212</v>
      </c>
      <c r="J634" s="364">
        <f>J164</f>
        <v>7619.4875686369887</v>
      </c>
      <c r="K634" s="364">
        <f t="shared" ref="K634:Y634" si="237">K164</f>
        <v>0</v>
      </c>
      <c r="L634" s="364">
        <f t="shared" si="237"/>
        <v>30.663925947662449</v>
      </c>
      <c r="M634" s="364">
        <f t="shared" si="237"/>
        <v>0</v>
      </c>
      <c r="N634" s="364">
        <f t="shared" si="237"/>
        <v>6.2806667441171582</v>
      </c>
      <c r="O634" s="364">
        <f t="shared" si="237"/>
        <v>0.16363636363636364</v>
      </c>
      <c r="P634" s="364">
        <f t="shared" si="237"/>
        <v>0.61595273264401773</v>
      </c>
      <c r="Q634" s="364">
        <f t="shared" si="237"/>
        <v>3.7419354838709675</v>
      </c>
      <c r="R634" s="364">
        <f t="shared" si="237"/>
        <v>0</v>
      </c>
      <c r="S634" s="364">
        <f t="shared" si="237"/>
        <v>0</v>
      </c>
      <c r="T634" s="364">
        <f t="shared" si="237"/>
        <v>0</v>
      </c>
      <c r="U634" s="364">
        <f t="shared" si="237"/>
        <v>0</v>
      </c>
      <c r="V634" s="364">
        <f t="shared" si="237"/>
        <v>0</v>
      </c>
      <c r="W634" s="364">
        <f t="shared" si="237"/>
        <v>0</v>
      </c>
      <c r="X634" s="364">
        <f t="shared" si="237"/>
        <v>0</v>
      </c>
      <c r="Y634" s="364">
        <f t="shared" si="237"/>
        <v>0</v>
      </c>
      <c r="AQ634" s="3"/>
    </row>
    <row r="635" spans="5:43" x14ac:dyDescent="0.35">
      <c r="E635" s="352"/>
      <c r="F635" s="2" t="s">
        <v>985</v>
      </c>
      <c r="G635" t="s">
        <v>212</v>
      </c>
      <c r="J635" s="364">
        <f>J173</f>
        <v>0</v>
      </c>
      <c r="K635" s="364">
        <f t="shared" ref="K635:Y635" si="238">K173</f>
        <v>0</v>
      </c>
      <c r="L635" s="364">
        <f t="shared" si="238"/>
        <v>24.874260080786939</v>
      </c>
      <c r="M635" s="364">
        <f t="shared" si="238"/>
        <v>0</v>
      </c>
      <c r="N635" s="364">
        <f t="shared" si="238"/>
        <v>3.3804884841149057</v>
      </c>
      <c r="O635" s="364">
        <f t="shared" si="238"/>
        <v>0.21818181818181817</v>
      </c>
      <c r="P635" s="364">
        <f t="shared" si="238"/>
        <v>0.22008862629246675</v>
      </c>
      <c r="Q635" s="364">
        <f t="shared" si="238"/>
        <v>0</v>
      </c>
      <c r="R635" s="364">
        <f t="shared" si="238"/>
        <v>0</v>
      </c>
      <c r="S635" s="364">
        <f t="shared" si="238"/>
        <v>0</v>
      </c>
      <c r="T635" s="364">
        <f t="shared" si="238"/>
        <v>0</v>
      </c>
      <c r="U635" s="364">
        <f t="shared" si="238"/>
        <v>0</v>
      </c>
      <c r="V635" s="364">
        <f t="shared" si="238"/>
        <v>0</v>
      </c>
      <c r="W635" s="364">
        <f t="shared" si="238"/>
        <v>0</v>
      </c>
      <c r="X635" s="364">
        <f t="shared" si="238"/>
        <v>0</v>
      </c>
      <c r="Y635" s="364">
        <f t="shared" si="238"/>
        <v>0</v>
      </c>
      <c r="AQ635" s="3"/>
    </row>
    <row r="636" spans="5:43" x14ac:dyDescent="0.35">
      <c r="E636" s="352"/>
      <c r="F636" s="2" t="s">
        <v>987</v>
      </c>
      <c r="G636" t="s">
        <v>212</v>
      </c>
      <c r="J636" s="101">
        <f>J182</f>
        <v>0</v>
      </c>
      <c r="K636" s="101">
        <f t="shared" ref="K636:Y636" si="239">K182</f>
        <v>0</v>
      </c>
      <c r="L636" s="101">
        <f t="shared" si="239"/>
        <v>14.044950378560182</v>
      </c>
      <c r="M636" s="101">
        <f t="shared" si="239"/>
        <v>0</v>
      </c>
      <c r="N636" s="101">
        <f t="shared" si="239"/>
        <v>1.5549025899240143</v>
      </c>
      <c r="O636" s="101">
        <f t="shared" si="239"/>
        <v>0.43636363636363634</v>
      </c>
      <c r="P636" s="101">
        <f t="shared" si="239"/>
        <v>8.5672082717872966E-2</v>
      </c>
      <c r="Q636" s="101">
        <f t="shared" si="239"/>
        <v>0</v>
      </c>
      <c r="R636" s="101">
        <f t="shared" si="239"/>
        <v>0</v>
      </c>
      <c r="S636" s="101">
        <f t="shared" si="239"/>
        <v>0</v>
      </c>
      <c r="T636" s="101">
        <f t="shared" si="239"/>
        <v>0</v>
      </c>
      <c r="U636" s="101">
        <f t="shared" si="239"/>
        <v>0</v>
      </c>
      <c r="V636" s="101">
        <f t="shared" si="239"/>
        <v>0</v>
      </c>
      <c r="W636" s="101">
        <f t="shared" si="239"/>
        <v>0</v>
      </c>
      <c r="X636" s="101">
        <f t="shared" si="239"/>
        <v>0</v>
      </c>
      <c r="Y636" s="101">
        <f t="shared" si="239"/>
        <v>0</v>
      </c>
      <c r="AQ636" s="3"/>
    </row>
    <row r="637" spans="5:43" x14ac:dyDescent="0.35">
      <c r="E637" s="352"/>
      <c r="F637" s="2" t="s">
        <v>986</v>
      </c>
      <c r="G637" t="s">
        <v>212</v>
      </c>
      <c r="J637" s="101">
        <f>J191</f>
        <v>0</v>
      </c>
      <c r="K637" s="101">
        <f t="shared" ref="K637:Y637" si="240">K191</f>
        <v>0</v>
      </c>
      <c r="L637" s="101">
        <f t="shared" si="240"/>
        <v>11.359997559826274</v>
      </c>
      <c r="M637" s="101">
        <f t="shared" si="240"/>
        <v>0</v>
      </c>
      <c r="N637" s="101">
        <f t="shared" si="240"/>
        <v>1.9090296195663947</v>
      </c>
      <c r="O637" s="101">
        <f t="shared" si="240"/>
        <v>1.1818181818181819</v>
      </c>
      <c r="P637" s="101">
        <f t="shared" si="240"/>
        <v>7.8286558345642535E-2</v>
      </c>
      <c r="Q637" s="101">
        <f t="shared" si="240"/>
        <v>0</v>
      </c>
      <c r="R637" s="101">
        <f t="shared" si="240"/>
        <v>0</v>
      </c>
      <c r="S637" s="101">
        <f t="shared" si="240"/>
        <v>0</v>
      </c>
      <c r="T637" s="101">
        <f t="shared" si="240"/>
        <v>0</v>
      </c>
      <c r="U637" s="101">
        <f t="shared" si="240"/>
        <v>0</v>
      </c>
      <c r="V637" s="101">
        <f t="shared" si="240"/>
        <v>0</v>
      </c>
      <c r="W637" s="101">
        <f t="shared" si="240"/>
        <v>0</v>
      </c>
      <c r="X637" s="101">
        <f t="shared" si="240"/>
        <v>0</v>
      </c>
      <c r="Y637" s="101">
        <f t="shared" si="240"/>
        <v>0</v>
      </c>
      <c r="AQ637" s="3"/>
    </row>
    <row r="638" spans="5:43" x14ac:dyDescent="0.35">
      <c r="E638" s="72" t="s">
        <v>250</v>
      </c>
      <c r="F638" s="2"/>
      <c r="J638" s="26"/>
      <c r="K638" s="26"/>
      <c r="L638" s="26"/>
      <c r="M638" s="26"/>
      <c r="N638" s="26"/>
      <c r="O638" s="26"/>
      <c r="P638" s="26"/>
      <c r="Q638" s="26"/>
      <c r="R638" s="26"/>
      <c r="S638" s="26"/>
      <c r="T638" s="26"/>
      <c r="U638" s="26"/>
      <c r="V638" s="26"/>
      <c r="W638" s="26"/>
      <c r="X638" s="26"/>
      <c r="Y638" s="26"/>
      <c r="AQ638" s="3"/>
    </row>
    <row r="639" spans="5:43" x14ac:dyDescent="0.35">
      <c r="E639" s="352"/>
      <c r="F639" s="2" t="s">
        <v>983</v>
      </c>
      <c r="G639" t="s">
        <v>251</v>
      </c>
      <c r="J639" s="131">
        <f>J156</f>
        <v>0</v>
      </c>
      <c r="K639" s="131">
        <f t="shared" ref="K639:Y639" si="241">K156</f>
        <v>0</v>
      </c>
      <c r="L639" s="131">
        <f t="shared" si="241"/>
        <v>0</v>
      </c>
      <c r="M639" s="131">
        <f t="shared" si="241"/>
        <v>0</v>
      </c>
      <c r="N639" s="131">
        <f t="shared" si="241"/>
        <v>0</v>
      </c>
      <c r="O639" s="131">
        <f t="shared" si="241"/>
        <v>0</v>
      </c>
      <c r="P639" s="131">
        <f t="shared" si="241"/>
        <v>0</v>
      </c>
      <c r="Q639" s="131">
        <f t="shared" si="241"/>
        <v>0</v>
      </c>
      <c r="R639" s="131">
        <f t="shared" si="241"/>
        <v>0</v>
      </c>
      <c r="S639" s="131">
        <f t="shared" si="241"/>
        <v>0</v>
      </c>
      <c r="T639" s="131">
        <f t="shared" si="241"/>
        <v>0</v>
      </c>
      <c r="U639" s="131">
        <f t="shared" si="241"/>
        <v>0</v>
      </c>
      <c r="V639" s="131">
        <f t="shared" si="241"/>
        <v>0</v>
      </c>
      <c r="W639" s="131">
        <f t="shared" si="241"/>
        <v>0</v>
      </c>
      <c r="X639" s="131">
        <f t="shared" si="241"/>
        <v>0</v>
      </c>
      <c r="Y639" s="131">
        <f t="shared" si="241"/>
        <v>0</v>
      </c>
      <c r="AQ639" s="3"/>
    </row>
    <row r="640" spans="5:43" x14ac:dyDescent="0.35">
      <c r="E640" s="352"/>
      <c r="F640" s="2" t="s">
        <v>984</v>
      </c>
      <c r="G640" t="s">
        <v>251</v>
      </c>
      <c r="J640" s="364">
        <f>J165</f>
        <v>0</v>
      </c>
      <c r="K640" s="364">
        <f t="shared" ref="K640:Y640" si="242">K165</f>
        <v>0</v>
      </c>
      <c r="L640" s="364">
        <f t="shared" si="242"/>
        <v>0</v>
      </c>
      <c r="M640" s="364">
        <f t="shared" si="242"/>
        <v>0</v>
      </c>
      <c r="N640" s="364">
        <f t="shared" si="242"/>
        <v>668.8402588864227</v>
      </c>
      <c r="O640" s="364">
        <f t="shared" si="242"/>
        <v>54.399435145316467</v>
      </c>
      <c r="P640" s="364">
        <f t="shared" si="242"/>
        <v>1646.4817187231479</v>
      </c>
      <c r="Q640" s="364">
        <f t="shared" si="242"/>
        <v>0</v>
      </c>
      <c r="R640" s="364">
        <f t="shared" si="242"/>
        <v>0</v>
      </c>
      <c r="S640" s="364">
        <f t="shared" si="242"/>
        <v>0</v>
      </c>
      <c r="T640" s="364">
        <f t="shared" si="242"/>
        <v>0</v>
      </c>
      <c r="U640" s="364">
        <f t="shared" si="242"/>
        <v>0</v>
      </c>
      <c r="V640" s="364">
        <f t="shared" si="242"/>
        <v>0</v>
      </c>
      <c r="W640" s="364">
        <f t="shared" si="242"/>
        <v>0</v>
      </c>
      <c r="X640" s="364">
        <f t="shared" si="242"/>
        <v>0</v>
      </c>
      <c r="Y640" s="364">
        <f t="shared" si="242"/>
        <v>0</v>
      </c>
      <c r="AQ640" s="3"/>
    </row>
    <row r="641" spans="5:43" x14ac:dyDescent="0.35">
      <c r="E641" s="352"/>
      <c r="F641" s="2" t="s">
        <v>985</v>
      </c>
      <c r="G641" t="s">
        <v>251</v>
      </c>
      <c r="J641" s="364">
        <f>J174</f>
        <v>0</v>
      </c>
      <c r="K641" s="364">
        <f t="shared" ref="K641:Y641" si="243">K174</f>
        <v>0</v>
      </c>
      <c r="L641" s="364">
        <f t="shared" si="243"/>
        <v>0</v>
      </c>
      <c r="M641" s="364">
        <f t="shared" si="243"/>
        <v>0</v>
      </c>
      <c r="N641" s="364">
        <f t="shared" si="243"/>
        <v>687.14042909116665</v>
      </c>
      <c r="O641" s="364">
        <f t="shared" si="243"/>
        <v>33.366389880891674</v>
      </c>
      <c r="P641" s="364">
        <f t="shared" si="243"/>
        <v>4578.1344679188715</v>
      </c>
      <c r="Q641" s="364">
        <f t="shared" si="243"/>
        <v>0</v>
      </c>
      <c r="R641" s="364">
        <f t="shared" si="243"/>
        <v>0</v>
      </c>
      <c r="S641" s="364">
        <f t="shared" si="243"/>
        <v>0</v>
      </c>
      <c r="T641" s="364">
        <f t="shared" si="243"/>
        <v>0</v>
      </c>
      <c r="U641" s="364">
        <f t="shared" si="243"/>
        <v>0</v>
      </c>
      <c r="V641" s="364">
        <f t="shared" si="243"/>
        <v>0</v>
      </c>
      <c r="W641" s="364">
        <f t="shared" si="243"/>
        <v>0</v>
      </c>
      <c r="X641" s="364">
        <f t="shared" si="243"/>
        <v>0</v>
      </c>
      <c r="Y641" s="364">
        <f t="shared" si="243"/>
        <v>0</v>
      </c>
      <c r="AQ641" s="3"/>
    </row>
    <row r="642" spans="5:43" x14ac:dyDescent="0.35">
      <c r="E642" s="352"/>
      <c r="F642" s="2" t="s">
        <v>987</v>
      </c>
      <c r="G642" t="s">
        <v>251</v>
      </c>
      <c r="J642" s="101">
        <f>J183</f>
        <v>0</v>
      </c>
      <c r="K642" s="101">
        <f t="shared" ref="K642:Y642" si="244">K183</f>
        <v>0</v>
      </c>
      <c r="L642" s="101">
        <f t="shared" si="244"/>
        <v>0</v>
      </c>
      <c r="M642" s="101">
        <f t="shared" si="244"/>
        <v>0</v>
      </c>
      <c r="N642" s="101">
        <f t="shared" si="244"/>
        <v>519.55423055220081</v>
      </c>
      <c r="O642" s="101">
        <f t="shared" si="244"/>
        <v>98.852356688009664</v>
      </c>
      <c r="P642" s="101">
        <f t="shared" si="244"/>
        <v>3833.1343797047916</v>
      </c>
      <c r="Q642" s="101">
        <f t="shared" si="244"/>
        <v>0</v>
      </c>
      <c r="R642" s="101">
        <f t="shared" si="244"/>
        <v>0</v>
      </c>
      <c r="S642" s="101">
        <f t="shared" si="244"/>
        <v>0</v>
      </c>
      <c r="T642" s="101">
        <f t="shared" si="244"/>
        <v>0</v>
      </c>
      <c r="U642" s="101">
        <f t="shared" si="244"/>
        <v>0</v>
      </c>
      <c r="V642" s="101">
        <f t="shared" si="244"/>
        <v>0</v>
      </c>
      <c r="W642" s="101">
        <f t="shared" si="244"/>
        <v>0</v>
      </c>
      <c r="X642" s="101">
        <f t="shared" si="244"/>
        <v>0</v>
      </c>
      <c r="Y642" s="101">
        <f t="shared" si="244"/>
        <v>0</v>
      </c>
      <c r="AQ642" s="3"/>
    </row>
    <row r="643" spans="5:43" x14ac:dyDescent="0.35">
      <c r="E643" s="352"/>
      <c r="F643" s="2" t="s">
        <v>986</v>
      </c>
      <c r="G643" t="s">
        <v>251</v>
      </c>
      <c r="J643" s="101">
        <f>J192</f>
        <v>0</v>
      </c>
      <c r="K643" s="101">
        <f t="shared" ref="K643:Y643" si="245">K192</f>
        <v>0</v>
      </c>
      <c r="L643" s="101">
        <f t="shared" si="245"/>
        <v>0</v>
      </c>
      <c r="M643" s="101">
        <f t="shared" si="245"/>
        <v>0</v>
      </c>
      <c r="N643" s="101">
        <f t="shared" si="245"/>
        <v>1414.1903333347695</v>
      </c>
      <c r="O643" s="101">
        <f t="shared" si="245"/>
        <v>772.04848495244858</v>
      </c>
      <c r="P643" s="101">
        <f t="shared" si="245"/>
        <v>7692.249433653189</v>
      </c>
      <c r="Q643" s="101">
        <f t="shared" si="245"/>
        <v>0</v>
      </c>
      <c r="R643" s="101">
        <f t="shared" si="245"/>
        <v>0</v>
      </c>
      <c r="S643" s="101">
        <f t="shared" si="245"/>
        <v>0</v>
      </c>
      <c r="T643" s="101">
        <f t="shared" si="245"/>
        <v>0</v>
      </c>
      <c r="U643" s="101">
        <f t="shared" si="245"/>
        <v>0</v>
      </c>
      <c r="V643" s="101">
        <f t="shared" si="245"/>
        <v>0</v>
      </c>
      <c r="W643" s="101">
        <f t="shared" si="245"/>
        <v>0</v>
      </c>
      <c r="X643" s="101">
        <f t="shared" si="245"/>
        <v>0</v>
      </c>
      <c r="Y643" s="101">
        <f t="shared" si="245"/>
        <v>0</v>
      </c>
      <c r="AQ643" s="3"/>
    </row>
    <row r="644" spans="5:43" x14ac:dyDescent="0.35">
      <c r="E644" s="72" t="s">
        <v>252</v>
      </c>
      <c r="F644" s="2"/>
      <c r="J644" s="26"/>
      <c r="K644" s="26"/>
      <c r="L644" s="26"/>
      <c r="M644" s="26"/>
      <c r="N644" s="26"/>
      <c r="O644" s="26"/>
      <c r="P644" s="26"/>
      <c r="Q644" s="26"/>
      <c r="R644" s="26"/>
      <c r="S644" s="26"/>
      <c r="T644" s="26"/>
      <c r="U644" s="26"/>
      <c r="V644" s="26"/>
      <c r="W644" s="26"/>
      <c r="X644" s="26"/>
      <c r="Y644" s="26"/>
      <c r="AQ644" s="3"/>
    </row>
    <row r="645" spans="5:43" x14ac:dyDescent="0.35">
      <c r="E645" s="352"/>
      <c r="F645" s="2" t="s">
        <v>983</v>
      </c>
      <c r="G645" t="s">
        <v>251</v>
      </c>
      <c r="J645" s="131">
        <f>J157</f>
        <v>0</v>
      </c>
      <c r="K645" s="131">
        <f t="shared" ref="K645:Y645" si="246">K157</f>
        <v>0</v>
      </c>
      <c r="L645" s="131">
        <f t="shared" si="246"/>
        <v>0</v>
      </c>
      <c r="M645" s="131">
        <f t="shared" si="246"/>
        <v>0</v>
      </c>
      <c r="N645" s="131">
        <f t="shared" si="246"/>
        <v>0</v>
      </c>
      <c r="O645" s="131">
        <f t="shared" si="246"/>
        <v>0</v>
      </c>
      <c r="P645" s="131">
        <f t="shared" si="246"/>
        <v>0</v>
      </c>
      <c r="Q645" s="131">
        <f t="shared" si="246"/>
        <v>0</v>
      </c>
      <c r="R645" s="131">
        <f t="shared" si="246"/>
        <v>0</v>
      </c>
      <c r="S645" s="131">
        <f t="shared" si="246"/>
        <v>0</v>
      </c>
      <c r="T645" s="131">
        <f t="shared" si="246"/>
        <v>0</v>
      </c>
      <c r="U645" s="131">
        <f t="shared" si="246"/>
        <v>0</v>
      </c>
      <c r="V645" s="131">
        <f t="shared" si="246"/>
        <v>0</v>
      </c>
      <c r="W645" s="131">
        <f t="shared" si="246"/>
        <v>0</v>
      </c>
      <c r="X645" s="131">
        <f t="shared" si="246"/>
        <v>0</v>
      </c>
      <c r="Y645" s="131">
        <f t="shared" si="246"/>
        <v>0</v>
      </c>
      <c r="AQ645" s="3"/>
    </row>
    <row r="646" spans="5:43" x14ac:dyDescent="0.35">
      <c r="E646" s="352"/>
      <c r="F646" s="2" t="s">
        <v>984</v>
      </c>
      <c r="G646" t="s">
        <v>251</v>
      </c>
      <c r="J646" s="364">
        <f>J166</f>
        <v>0</v>
      </c>
      <c r="K646" s="364">
        <f t="shared" ref="K646:Y646" si="247">K166</f>
        <v>0</v>
      </c>
      <c r="L646" s="364">
        <f t="shared" si="247"/>
        <v>0</v>
      </c>
      <c r="M646" s="364">
        <f t="shared" si="247"/>
        <v>0</v>
      </c>
      <c r="N646" s="364">
        <f t="shared" si="247"/>
        <v>5.5359238884504505</v>
      </c>
      <c r="O646" s="364">
        <f t="shared" si="247"/>
        <v>0</v>
      </c>
      <c r="P646" s="364">
        <f t="shared" si="247"/>
        <v>0</v>
      </c>
      <c r="Q646" s="364">
        <f t="shared" si="247"/>
        <v>0</v>
      </c>
      <c r="R646" s="364">
        <f t="shared" si="247"/>
        <v>0</v>
      </c>
      <c r="S646" s="364">
        <f t="shared" si="247"/>
        <v>0</v>
      </c>
      <c r="T646" s="364">
        <f t="shared" si="247"/>
        <v>0</v>
      </c>
      <c r="U646" s="364">
        <f t="shared" si="247"/>
        <v>0</v>
      </c>
      <c r="V646" s="364">
        <f t="shared" si="247"/>
        <v>0</v>
      </c>
      <c r="W646" s="364">
        <f t="shared" si="247"/>
        <v>0</v>
      </c>
      <c r="X646" s="364">
        <f t="shared" si="247"/>
        <v>0</v>
      </c>
      <c r="Y646" s="364">
        <f t="shared" si="247"/>
        <v>0</v>
      </c>
      <c r="AQ646" s="3"/>
    </row>
    <row r="647" spans="5:43" x14ac:dyDescent="0.35">
      <c r="E647" s="352"/>
      <c r="F647" s="2" t="s">
        <v>985</v>
      </c>
      <c r="G647" t="s">
        <v>251</v>
      </c>
      <c r="J647" s="364">
        <f>J175</f>
        <v>0</v>
      </c>
      <c r="K647" s="364">
        <f t="shared" ref="K647:Y647" si="248">K175</f>
        <v>0</v>
      </c>
      <c r="L647" s="364">
        <f t="shared" si="248"/>
        <v>0</v>
      </c>
      <c r="M647" s="364">
        <f t="shared" si="248"/>
        <v>0</v>
      </c>
      <c r="N647" s="364">
        <f t="shared" si="248"/>
        <v>5.6873925658411082</v>
      </c>
      <c r="O647" s="364">
        <f t="shared" si="248"/>
        <v>0</v>
      </c>
      <c r="P647" s="364">
        <f t="shared" si="248"/>
        <v>0</v>
      </c>
      <c r="Q647" s="364">
        <f t="shared" si="248"/>
        <v>0</v>
      </c>
      <c r="R647" s="364">
        <f t="shared" si="248"/>
        <v>0</v>
      </c>
      <c r="S647" s="364">
        <f t="shared" si="248"/>
        <v>0</v>
      </c>
      <c r="T647" s="364">
        <f t="shared" si="248"/>
        <v>0</v>
      </c>
      <c r="U647" s="364">
        <f t="shared" si="248"/>
        <v>0</v>
      </c>
      <c r="V647" s="364">
        <f t="shared" si="248"/>
        <v>0</v>
      </c>
      <c r="W647" s="364">
        <f t="shared" si="248"/>
        <v>0</v>
      </c>
      <c r="X647" s="364">
        <f t="shared" si="248"/>
        <v>0</v>
      </c>
      <c r="Y647" s="364">
        <f t="shared" si="248"/>
        <v>0</v>
      </c>
      <c r="AQ647" s="3"/>
    </row>
    <row r="648" spans="5:43" x14ac:dyDescent="0.35">
      <c r="E648" s="352"/>
      <c r="F648" s="2" t="s">
        <v>987</v>
      </c>
      <c r="G648" t="s">
        <v>251</v>
      </c>
      <c r="J648" s="101">
        <f>J184</f>
        <v>0</v>
      </c>
      <c r="K648" s="101">
        <f t="shared" ref="K648:Y648" si="249">K184</f>
        <v>0</v>
      </c>
      <c r="L648" s="101">
        <f t="shared" si="249"/>
        <v>0</v>
      </c>
      <c r="M648" s="101">
        <f t="shared" si="249"/>
        <v>0</v>
      </c>
      <c r="N648" s="101">
        <f t="shared" si="249"/>
        <v>4.3002983717638887</v>
      </c>
      <c r="O648" s="101">
        <f t="shared" si="249"/>
        <v>0</v>
      </c>
      <c r="P648" s="101">
        <f t="shared" si="249"/>
        <v>0</v>
      </c>
      <c r="Q648" s="101">
        <f t="shared" si="249"/>
        <v>0</v>
      </c>
      <c r="R648" s="101">
        <f t="shared" si="249"/>
        <v>0</v>
      </c>
      <c r="S648" s="101">
        <f t="shared" si="249"/>
        <v>0</v>
      </c>
      <c r="T648" s="101">
        <f t="shared" si="249"/>
        <v>0</v>
      </c>
      <c r="U648" s="101">
        <f t="shared" si="249"/>
        <v>0</v>
      </c>
      <c r="V648" s="101">
        <f t="shared" si="249"/>
        <v>0</v>
      </c>
      <c r="W648" s="101">
        <f t="shared" si="249"/>
        <v>0</v>
      </c>
      <c r="X648" s="101">
        <f t="shared" si="249"/>
        <v>0</v>
      </c>
      <c r="Y648" s="101">
        <f t="shared" si="249"/>
        <v>0</v>
      </c>
      <c r="AQ648" s="3"/>
    </row>
    <row r="649" spans="5:43" x14ac:dyDescent="0.35">
      <c r="E649" s="352"/>
      <c r="F649" s="2" t="s">
        <v>986</v>
      </c>
      <c r="G649" t="s">
        <v>251</v>
      </c>
      <c r="J649" s="101">
        <f>J193</f>
        <v>0</v>
      </c>
      <c r="K649" s="101">
        <f t="shared" ref="K649:Y649" si="250">K193</f>
        <v>0</v>
      </c>
      <c r="L649" s="101">
        <f t="shared" si="250"/>
        <v>0</v>
      </c>
      <c r="M649" s="101">
        <f t="shared" si="250"/>
        <v>0</v>
      </c>
      <c r="N649" s="101">
        <f t="shared" si="250"/>
        <v>11.705111863568446</v>
      </c>
      <c r="O649" s="101">
        <f t="shared" si="250"/>
        <v>0</v>
      </c>
      <c r="P649" s="101">
        <f t="shared" si="250"/>
        <v>0</v>
      </c>
      <c r="Q649" s="101">
        <f t="shared" si="250"/>
        <v>0</v>
      </c>
      <c r="R649" s="101">
        <f t="shared" si="250"/>
        <v>0</v>
      </c>
      <c r="S649" s="101">
        <f t="shared" si="250"/>
        <v>0</v>
      </c>
      <c r="T649" s="101">
        <f t="shared" si="250"/>
        <v>0</v>
      </c>
      <c r="U649" s="101">
        <f t="shared" si="250"/>
        <v>0</v>
      </c>
      <c r="V649" s="101">
        <f t="shared" si="250"/>
        <v>0</v>
      </c>
      <c r="W649" s="101">
        <f t="shared" si="250"/>
        <v>0</v>
      </c>
      <c r="X649" s="101">
        <f t="shared" si="250"/>
        <v>0</v>
      </c>
      <c r="Y649" s="101">
        <f t="shared" si="250"/>
        <v>0</v>
      </c>
      <c r="AQ649" s="3"/>
    </row>
    <row r="650" spans="5:43" x14ac:dyDescent="0.35">
      <c r="E650" s="352" t="s">
        <v>253</v>
      </c>
      <c r="F650" s="353"/>
      <c r="J650" s="26"/>
      <c r="K650" s="26"/>
      <c r="L650" s="26"/>
      <c r="M650" s="26"/>
      <c r="N650" s="26"/>
      <c r="O650" s="26"/>
      <c r="P650" s="26"/>
      <c r="Q650" s="26"/>
      <c r="R650" s="26"/>
      <c r="S650" s="26"/>
      <c r="T650" s="26"/>
      <c r="U650" s="26"/>
      <c r="V650" s="26"/>
      <c r="W650" s="26"/>
      <c r="X650" s="26"/>
      <c r="Y650" s="26"/>
      <c r="AQ650" s="3"/>
    </row>
    <row r="651" spans="5:43" x14ac:dyDescent="0.35">
      <c r="E651" s="352"/>
      <c r="F651" s="353" t="s">
        <v>983</v>
      </c>
      <c r="G651" t="s">
        <v>254</v>
      </c>
      <c r="J651" s="131">
        <f>J158</f>
        <v>0</v>
      </c>
      <c r="K651" s="131">
        <f t="shared" ref="K651:Y651" si="251">K158</f>
        <v>0</v>
      </c>
      <c r="L651" s="131">
        <f t="shared" si="251"/>
        <v>0</v>
      </c>
      <c r="M651" s="131">
        <f t="shared" si="251"/>
        <v>0</v>
      </c>
      <c r="N651" s="131">
        <f t="shared" si="251"/>
        <v>0</v>
      </c>
      <c r="O651" s="131">
        <f t="shared" si="251"/>
        <v>0</v>
      </c>
      <c r="P651" s="131">
        <f t="shared" si="251"/>
        <v>0</v>
      </c>
      <c r="Q651" s="131">
        <f t="shared" si="251"/>
        <v>0</v>
      </c>
      <c r="R651" s="131">
        <f t="shared" si="251"/>
        <v>0</v>
      </c>
      <c r="S651" s="131">
        <f t="shared" si="251"/>
        <v>0</v>
      </c>
      <c r="T651" s="131">
        <f t="shared" si="251"/>
        <v>0</v>
      </c>
      <c r="U651" s="131">
        <f t="shared" si="251"/>
        <v>0</v>
      </c>
      <c r="V651" s="131">
        <f t="shared" si="251"/>
        <v>0</v>
      </c>
      <c r="W651" s="131">
        <f t="shared" si="251"/>
        <v>0</v>
      </c>
      <c r="X651" s="131">
        <f t="shared" si="251"/>
        <v>0</v>
      </c>
      <c r="Y651" s="131">
        <f t="shared" si="251"/>
        <v>0</v>
      </c>
      <c r="AQ651" s="3"/>
    </row>
    <row r="652" spans="5:43" x14ac:dyDescent="0.35">
      <c r="E652" s="352"/>
      <c r="F652" s="353" t="s">
        <v>984</v>
      </c>
      <c r="G652" t="s">
        <v>254</v>
      </c>
      <c r="J652" s="364">
        <f>J167</f>
        <v>0</v>
      </c>
      <c r="K652" s="364">
        <f t="shared" ref="K652:Y652" si="252">K167</f>
        <v>0</v>
      </c>
      <c r="L652" s="364">
        <f t="shared" si="252"/>
        <v>0</v>
      </c>
      <c r="M652" s="364">
        <f t="shared" si="252"/>
        <v>0</v>
      </c>
      <c r="N652" s="364">
        <f t="shared" si="252"/>
        <v>108.1683492538001</v>
      </c>
      <c r="O652" s="364">
        <f t="shared" si="252"/>
        <v>2.1735384039216713E-2</v>
      </c>
      <c r="P652" s="364">
        <f t="shared" si="252"/>
        <v>0</v>
      </c>
      <c r="Q652" s="364">
        <f t="shared" si="252"/>
        <v>0</v>
      </c>
      <c r="R652" s="364">
        <f t="shared" si="252"/>
        <v>0</v>
      </c>
      <c r="S652" s="364">
        <f t="shared" si="252"/>
        <v>0</v>
      </c>
      <c r="T652" s="364">
        <f t="shared" si="252"/>
        <v>0</v>
      </c>
      <c r="U652" s="364">
        <f t="shared" si="252"/>
        <v>0</v>
      </c>
      <c r="V652" s="364">
        <f t="shared" si="252"/>
        <v>0</v>
      </c>
      <c r="W652" s="364">
        <f t="shared" si="252"/>
        <v>0</v>
      </c>
      <c r="X652" s="364">
        <f t="shared" si="252"/>
        <v>0</v>
      </c>
      <c r="Y652" s="364">
        <f t="shared" si="252"/>
        <v>0</v>
      </c>
      <c r="AQ652" s="3"/>
    </row>
    <row r="653" spans="5:43" x14ac:dyDescent="0.35">
      <c r="E653" s="352"/>
      <c r="F653" s="353" t="s">
        <v>985</v>
      </c>
      <c r="G653" t="s">
        <v>254</v>
      </c>
      <c r="J653" s="364">
        <f>J176</f>
        <v>0</v>
      </c>
      <c r="K653" s="364">
        <f t="shared" ref="K653:Y653" si="253">K176</f>
        <v>0</v>
      </c>
      <c r="L653" s="364">
        <f t="shared" si="253"/>
        <v>0</v>
      </c>
      <c r="M653" s="364">
        <f t="shared" si="253"/>
        <v>0</v>
      </c>
      <c r="N653" s="364">
        <f t="shared" si="253"/>
        <v>111.12794861375262</v>
      </c>
      <c r="O653" s="364">
        <f t="shared" si="253"/>
        <v>1.3331596111726428E-2</v>
      </c>
      <c r="P653" s="364">
        <f t="shared" si="253"/>
        <v>0</v>
      </c>
      <c r="Q653" s="364">
        <f t="shared" si="253"/>
        <v>0</v>
      </c>
      <c r="R653" s="364">
        <f t="shared" si="253"/>
        <v>0</v>
      </c>
      <c r="S653" s="364">
        <f t="shared" si="253"/>
        <v>0</v>
      </c>
      <c r="T653" s="364">
        <f t="shared" si="253"/>
        <v>0</v>
      </c>
      <c r="U653" s="364">
        <f t="shared" si="253"/>
        <v>0</v>
      </c>
      <c r="V653" s="364">
        <f t="shared" si="253"/>
        <v>0</v>
      </c>
      <c r="W653" s="364">
        <f t="shared" si="253"/>
        <v>0</v>
      </c>
      <c r="X653" s="364">
        <f t="shared" si="253"/>
        <v>0</v>
      </c>
      <c r="Y653" s="364">
        <f t="shared" si="253"/>
        <v>0</v>
      </c>
      <c r="AQ653" s="3"/>
    </row>
    <row r="654" spans="5:43" x14ac:dyDescent="0.35">
      <c r="E654" s="352"/>
      <c r="F654" s="353" t="s">
        <v>987</v>
      </c>
      <c r="G654" t="s">
        <v>254</v>
      </c>
      <c r="J654" s="101">
        <f>J185</f>
        <v>0</v>
      </c>
      <c r="K654" s="101">
        <f t="shared" ref="K654:Y654" si="254">K185</f>
        <v>0</v>
      </c>
      <c r="L654" s="101">
        <f t="shared" si="254"/>
        <v>0</v>
      </c>
      <c r="M654" s="101">
        <f t="shared" si="254"/>
        <v>0</v>
      </c>
      <c r="N654" s="101">
        <f t="shared" si="254"/>
        <v>84.025030969619266</v>
      </c>
      <c r="O654" s="101">
        <f t="shared" si="254"/>
        <v>3.9496622162638516E-2</v>
      </c>
      <c r="P654" s="101">
        <f t="shared" si="254"/>
        <v>0</v>
      </c>
      <c r="Q654" s="101">
        <f t="shared" si="254"/>
        <v>0</v>
      </c>
      <c r="R654" s="101">
        <f t="shared" si="254"/>
        <v>0</v>
      </c>
      <c r="S654" s="101">
        <f t="shared" si="254"/>
        <v>0</v>
      </c>
      <c r="T654" s="101">
        <f t="shared" si="254"/>
        <v>0</v>
      </c>
      <c r="U654" s="101">
        <f t="shared" si="254"/>
        <v>0</v>
      </c>
      <c r="V654" s="101">
        <f t="shared" si="254"/>
        <v>0</v>
      </c>
      <c r="W654" s="101">
        <f t="shared" si="254"/>
        <v>0</v>
      </c>
      <c r="X654" s="101">
        <f t="shared" si="254"/>
        <v>0</v>
      </c>
      <c r="Y654" s="101">
        <f t="shared" si="254"/>
        <v>0</v>
      </c>
      <c r="AQ654" s="3"/>
    </row>
    <row r="655" spans="5:43" x14ac:dyDescent="0.35">
      <c r="E655" s="80"/>
      <c r="F655" s="354" t="s">
        <v>986</v>
      </c>
      <c r="G655" s="37" t="s">
        <v>254</v>
      </c>
      <c r="H655" s="37"/>
      <c r="I655" s="37"/>
      <c r="J655" s="364">
        <f>J194</f>
        <v>0</v>
      </c>
      <c r="K655" s="364">
        <f t="shared" ref="K655:Y655" si="255">K194</f>
        <v>0</v>
      </c>
      <c r="L655" s="364">
        <f t="shared" si="255"/>
        <v>0</v>
      </c>
      <c r="M655" s="364">
        <f t="shared" si="255"/>
        <v>0</v>
      </c>
      <c r="N655" s="364">
        <f t="shared" si="255"/>
        <v>228.7102665473366</v>
      </c>
      <c r="O655" s="364">
        <f t="shared" si="255"/>
        <v>0.3084732455862943</v>
      </c>
      <c r="P655" s="364">
        <f t="shared" si="255"/>
        <v>0</v>
      </c>
      <c r="Q655" s="364">
        <f t="shared" si="255"/>
        <v>0</v>
      </c>
      <c r="R655" s="364">
        <f t="shared" si="255"/>
        <v>0</v>
      </c>
      <c r="S655" s="364">
        <f t="shared" si="255"/>
        <v>0</v>
      </c>
      <c r="T655" s="364">
        <f t="shared" si="255"/>
        <v>0</v>
      </c>
      <c r="U655" s="364">
        <f t="shared" si="255"/>
        <v>0</v>
      </c>
      <c r="V655" s="364">
        <f t="shared" si="255"/>
        <v>0</v>
      </c>
      <c r="W655" s="364">
        <f t="shared" si="255"/>
        <v>0</v>
      </c>
      <c r="X655" s="364">
        <f t="shared" si="255"/>
        <v>0</v>
      </c>
      <c r="Y655" s="364">
        <f t="shared" si="255"/>
        <v>0</v>
      </c>
      <c r="AQ655" s="3"/>
    </row>
    <row r="656" spans="5:43" x14ac:dyDescent="0.35">
      <c r="AQ656" s="3"/>
    </row>
    <row r="657" spans="3:43" x14ac:dyDescent="0.35">
      <c r="C657" s="31" t="str">
        <f ca="1">INDEX('Version control'!$H$34:$H$57,MATCH($A$1,'Version control'!$F$34:$F$57,0),1)&amp;"-K: Non-domestic aggregated (related MPAN) distribution across bands"</f>
        <v>Section 104-K: Non-domestic aggregated (related MPAN) distribution across bands</v>
      </c>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Q657" s="3"/>
    </row>
    <row r="658" spans="3:43" x14ac:dyDescent="0.35">
      <c r="AQ658" s="3"/>
    </row>
    <row r="659" spans="3:43" x14ac:dyDescent="0.35">
      <c r="D659" s="29" t="s">
        <v>1114</v>
      </c>
      <c r="I659" t="s">
        <v>154</v>
      </c>
      <c r="AA659" t="s">
        <v>1145</v>
      </c>
      <c r="AQ659" s="3"/>
    </row>
    <row r="660" spans="3:43" x14ac:dyDescent="0.35">
      <c r="D660" s="29" t="s">
        <v>1115</v>
      </c>
      <c r="AQ660" s="3"/>
    </row>
    <row r="661" spans="3:43" x14ac:dyDescent="0.35">
      <c r="D661" s="29" t="s">
        <v>1116</v>
      </c>
      <c r="AQ661" s="3"/>
    </row>
    <row r="662" spans="3:43" x14ac:dyDescent="0.35">
      <c r="D662" s="29" t="s">
        <v>1117</v>
      </c>
      <c r="AQ662" s="3"/>
    </row>
    <row r="663" spans="3:43" x14ac:dyDescent="0.35">
      <c r="AQ663" s="3"/>
    </row>
    <row r="664" spans="3:43" x14ac:dyDescent="0.35">
      <c r="E664" s="32" t="s">
        <v>992</v>
      </c>
      <c r="J664" s="386" t="s">
        <v>983</v>
      </c>
      <c r="K664" s="386" t="s">
        <v>988</v>
      </c>
      <c r="L664" s="386" t="s">
        <v>989</v>
      </c>
      <c r="M664" s="386" t="s">
        <v>990</v>
      </c>
      <c r="N664" s="386" t="s">
        <v>991</v>
      </c>
      <c r="AQ664" s="3"/>
    </row>
    <row r="665" spans="3:43" x14ac:dyDescent="0.35">
      <c r="E665" s="32"/>
      <c r="F665" s="23" t="s">
        <v>247</v>
      </c>
      <c r="G665" s="23" t="s">
        <v>167</v>
      </c>
      <c r="H665" s="23"/>
      <c r="I665" s="23"/>
      <c r="J665" s="343">
        <f>'Inputs by customer type'!J169</f>
        <v>0</v>
      </c>
      <c r="K665" s="343">
        <f>'Inputs by customer type'!K169</f>
        <v>3.3124775108394622E-2</v>
      </c>
      <c r="L665" s="343">
        <f>'Inputs by customer type'!L169</f>
        <v>0.15900546705316557</v>
      </c>
      <c r="M665" s="343">
        <f>'Inputs by customer type'!M169</f>
        <v>0.22154631015953802</v>
      </c>
      <c r="N665" s="343">
        <f>'Inputs by customer type'!N169</f>
        <v>0.58632344767890177</v>
      </c>
      <c r="AQ665" s="3"/>
    </row>
    <row r="666" spans="3:43" x14ac:dyDescent="0.35">
      <c r="E666" s="32"/>
      <c r="F666" s="311" t="s">
        <v>248</v>
      </c>
      <c r="G666" s="311" t="s">
        <v>167</v>
      </c>
      <c r="H666" s="311"/>
      <c r="I666" s="311"/>
      <c r="J666" s="344">
        <f>'Inputs by customer type'!J170</f>
        <v>0</v>
      </c>
      <c r="K666" s="344">
        <f>'Inputs by customer type'!K170</f>
        <v>3.3124775108394622E-2</v>
      </c>
      <c r="L666" s="344">
        <f>'Inputs by customer type'!L170</f>
        <v>0.15900546705316557</v>
      </c>
      <c r="M666" s="344">
        <f>'Inputs by customer type'!M170</f>
        <v>0.22154631015953802</v>
      </c>
      <c r="N666" s="344">
        <f>'Inputs by customer type'!N170</f>
        <v>0.58632344767890177</v>
      </c>
      <c r="AQ666" s="3"/>
    </row>
    <row r="667" spans="3:43" x14ac:dyDescent="0.35">
      <c r="E667" s="32"/>
      <c r="F667" s="37" t="s">
        <v>249</v>
      </c>
      <c r="G667" s="37" t="s">
        <v>167</v>
      </c>
      <c r="H667" s="37"/>
      <c r="I667" s="37"/>
      <c r="J667" s="345">
        <f>'Inputs by customer type'!J171</f>
        <v>0</v>
      </c>
      <c r="K667" s="345">
        <f>'Inputs by customer type'!K171</f>
        <v>3.3124775108394622E-2</v>
      </c>
      <c r="L667" s="345">
        <f>'Inputs by customer type'!L171</f>
        <v>0.15900546705316557</v>
      </c>
      <c r="M667" s="345">
        <f>'Inputs by customer type'!M171</f>
        <v>0.22154631015953802</v>
      </c>
      <c r="N667" s="345">
        <f>'Inputs by customer type'!N171</f>
        <v>0.58632344767890177</v>
      </c>
      <c r="AQ667" s="3"/>
    </row>
    <row r="668" spans="3:43" x14ac:dyDescent="0.35">
      <c r="E668" s="32"/>
      <c r="AQ668" s="3"/>
    </row>
    <row r="669" spans="3:43" x14ac:dyDescent="0.35">
      <c r="E669" s="32" t="s">
        <v>993</v>
      </c>
      <c r="J669" s="386" t="s">
        <v>983</v>
      </c>
      <c r="K669" s="386" t="s">
        <v>988</v>
      </c>
      <c r="L669" s="386" t="s">
        <v>989</v>
      </c>
      <c r="M669" s="386" t="s">
        <v>990</v>
      </c>
      <c r="N669" s="386" t="s">
        <v>991</v>
      </c>
      <c r="AQ669" s="3"/>
    </row>
    <row r="670" spans="3:43" x14ac:dyDescent="0.35">
      <c r="E670" s="32"/>
      <c r="F670" s="23" t="s">
        <v>247</v>
      </c>
      <c r="G670" s="23" t="s">
        <v>167</v>
      </c>
      <c r="H670" s="23"/>
      <c r="I670" s="23"/>
      <c r="J670" s="343">
        <f>'Inputs by customer type'!J174</f>
        <v>0</v>
      </c>
      <c r="K670" s="343">
        <f>'Inputs by customer type'!K174</f>
        <v>3.3124775108394622E-2</v>
      </c>
      <c r="L670" s="343">
        <f>'Inputs by customer type'!L174</f>
        <v>0.15900546705316557</v>
      </c>
      <c r="M670" s="343">
        <f>'Inputs by customer type'!M174</f>
        <v>0.22154631015953802</v>
      </c>
      <c r="N670" s="343">
        <f>'Inputs by customer type'!N174</f>
        <v>0.58632344767890177</v>
      </c>
      <c r="AQ670" s="3"/>
    </row>
    <row r="671" spans="3:43" x14ac:dyDescent="0.35">
      <c r="E671" s="32"/>
      <c r="F671" s="311" t="s">
        <v>248</v>
      </c>
      <c r="G671" s="311" t="s">
        <v>167</v>
      </c>
      <c r="H671" s="311"/>
      <c r="I671" s="311"/>
      <c r="J671" s="344">
        <f>'Inputs by customer type'!J175</f>
        <v>0</v>
      </c>
      <c r="K671" s="344">
        <f>'Inputs by customer type'!K175</f>
        <v>3.3124775108394622E-2</v>
      </c>
      <c r="L671" s="344">
        <f>'Inputs by customer type'!L175</f>
        <v>0.15900546705316557</v>
      </c>
      <c r="M671" s="344">
        <f>'Inputs by customer type'!M175</f>
        <v>0.22154631015953802</v>
      </c>
      <c r="N671" s="344">
        <f>'Inputs by customer type'!N175</f>
        <v>0.58632344767890177</v>
      </c>
      <c r="AQ671" s="3"/>
    </row>
    <row r="672" spans="3:43" x14ac:dyDescent="0.35">
      <c r="E672" s="32"/>
      <c r="F672" s="37" t="s">
        <v>249</v>
      </c>
      <c r="G672" s="37" t="s">
        <v>167</v>
      </c>
      <c r="H672" s="37"/>
      <c r="I672" s="37"/>
      <c r="J672" s="345">
        <f>'Inputs by customer type'!J176</f>
        <v>0</v>
      </c>
      <c r="K672" s="345">
        <f>'Inputs by customer type'!K176</f>
        <v>3.3124775108394622E-2</v>
      </c>
      <c r="L672" s="345">
        <f>'Inputs by customer type'!L176</f>
        <v>0.15900546705316557</v>
      </c>
      <c r="M672" s="345">
        <f>'Inputs by customer type'!M176</f>
        <v>0.22154631015953802</v>
      </c>
      <c r="N672" s="345">
        <f>'Inputs by customer type'!N176</f>
        <v>0.58632344767890177</v>
      </c>
      <c r="AQ672" s="3"/>
    </row>
    <row r="673" spans="5:43" x14ac:dyDescent="0.35">
      <c r="E673" s="32"/>
      <c r="AQ673" s="3"/>
    </row>
    <row r="674" spans="5:43" x14ac:dyDescent="0.35">
      <c r="E674" s="32" t="s">
        <v>994</v>
      </c>
      <c r="J674" s="386" t="s">
        <v>983</v>
      </c>
      <c r="K674" s="386" t="s">
        <v>988</v>
      </c>
      <c r="L674" s="386" t="s">
        <v>989</v>
      </c>
      <c r="M674" s="386" t="s">
        <v>990</v>
      </c>
      <c r="N674" s="386" t="s">
        <v>991</v>
      </c>
      <c r="AQ674" s="3"/>
    </row>
    <row r="675" spans="5:43" x14ac:dyDescent="0.35">
      <c r="F675" s="23" t="s">
        <v>247</v>
      </c>
      <c r="G675" s="23" t="s">
        <v>167</v>
      </c>
      <c r="H675" s="23"/>
      <c r="I675" s="23"/>
      <c r="J675" s="343">
        <f>'Inputs by customer type'!J179</f>
        <v>0</v>
      </c>
      <c r="K675" s="343">
        <f>'Inputs by customer type'!K179</f>
        <v>3.3124775108394622E-2</v>
      </c>
      <c r="L675" s="343">
        <f>'Inputs by customer type'!L179</f>
        <v>0.15900546705316557</v>
      </c>
      <c r="M675" s="343">
        <f>'Inputs by customer type'!M179</f>
        <v>0.22154631015953802</v>
      </c>
      <c r="N675" s="343">
        <f>'Inputs by customer type'!N179</f>
        <v>0.58632344767890177</v>
      </c>
      <c r="AQ675" s="3"/>
    </row>
    <row r="676" spans="5:43" x14ac:dyDescent="0.35">
      <c r="F676" s="311" t="s">
        <v>248</v>
      </c>
      <c r="G676" s="311" t="s">
        <v>167</v>
      </c>
      <c r="H676" s="311"/>
      <c r="I676" s="311"/>
      <c r="J676" s="344">
        <f>'Inputs by customer type'!J180</f>
        <v>0</v>
      </c>
      <c r="K676" s="344">
        <f>'Inputs by customer type'!K180</f>
        <v>3.3124775108394622E-2</v>
      </c>
      <c r="L676" s="344">
        <f>'Inputs by customer type'!L180</f>
        <v>0.15900546705316557</v>
      </c>
      <c r="M676" s="344">
        <f>'Inputs by customer type'!M180</f>
        <v>0.22154631015953802</v>
      </c>
      <c r="N676" s="344">
        <f>'Inputs by customer type'!N180</f>
        <v>0.58632344767890177</v>
      </c>
      <c r="AQ676" s="3"/>
    </row>
    <row r="677" spans="5:43" x14ac:dyDescent="0.35">
      <c r="F677" s="37" t="s">
        <v>249</v>
      </c>
      <c r="G677" s="37" t="s">
        <v>167</v>
      </c>
      <c r="H677" s="37"/>
      <c r="I677" s="37"/>
      <c r="J677" s="345">
        <f>'Inputs by customer type'!J181</f>
        <v>0</v>
      </c>
      <c r="K677" s="345">
        <f>'Inputs by customer type'!K181</f>
        <v>3.3124775108394622E-2</v>
      </c>
      <c r="L677" s="345">
        <f>'Inputs by customer type'!L181</f>
        <v>0.15900546705316557</v>
      </c>
      <c r="M677" s="345">
        <f>'Inputs by customer type'!M181</f>
        <v>0.22154631015953802</v>
      </c>
      <c r="N677" s="345">
        <f>'Inputs by customer type'!N181</f>
        <v>0.58632344767890177</v>
      </c>
      <c r="AQ677" s="3"/>
    </row>
    <row r="678" spans="5:43" x14ac:dyDescent="0.35">
      <c r="AQ678" s="3"/>
    </row>
    <row r="679" spans="5:43" x14ac:dyDescent="0.35">
      <c r="E679" s="32" t="s">
        <v>996</v>
      </c>
      <c r="J679" s="386" t="s">
        <v>983</v>
      </c>
      <c r="K679" s="386" t="s">
        <v>988</v>
      </c>
      <c r="L679" s="386" t="s">
        <v>989</v>
      </c>
      <c r="M679" s="386" t="s">
        <v>990</v>
      </c>
      <c r="N679" s="386" t="s">
        <v>991</v>
      </c>
      <c r="AQ679" s="3"/>
    </row>
    <row r="680" spans="5:43" x14ac:dyDescent="0.35">
      <c r="F680" s="23" t="s">
        <v>247</v>
      </c>
      <c r="G680" s="23" t="s">
        <v>207</v>
      </c>
      <c r="H680" s="23"/>
      <c r="I680" s="23"/>
      <c r="J680" s="367">
        <f t="shared" ref="J680:N682" si="256" xml:space="preserve"> $M58 * J665  + $M105 * J670 + $M152 * J675</f>
        <v>0</v>
      </c>
      <c r="K680" s="367">
        <f t="shared" si="256"/>
        <v>15.068599221696486</v>
      </c>
      <c r="L680" s="367">
        <f t="shared" si="256"/>
        <v>72.332254309422154</v>
      </c>
      <c r="M680" s="367">
        <f t="shared" si="256"/>
        <v>100.78234632281965</v>
      </c>
      <c r="N680" s="367">
        <f t="shared" si="256"/>
        <v>266.72099715229996</v>
      </c>
      <c r="AQ680" s="3"/>
    </row>
    <row r="681" spans="5:43" x14ac:dyDescent="0.35">
      <c r="F681" s="311" t="s">
        <v>248</v>
      </c>
      <c r="G681" s="311" t="s">
        <v>207</v>
      </c>
      <c r="H681" s="311"/>
      <c r="I681" s="311"/>
      <c r="J681" s="366">
        <f t="shared" si="256"/>
        <v>0</v>
      </c>
      <c r="K681" s="366">
        <f t="shared" si="256"/>
        <v>295.18578780207633</v>
      </c>
      <c r="L681" s="366">
        <f t="shared" si="256"/>
        <v>1416.9501197619002</v>
      </c>
      <c r="M681" s="366">
        <f t="shared" si="256"/>
        <v>1974.2721840400693</v>
      </c>
      <c r="N681" s="366">
        <f t="shared" si="256"/>
        <v>5224.9214747442875</v>
      </c>
      <c r="AQ681" s="3"/>
    </row>
    <row r="682" spans="5:43" x14ac:dyDescent="0.35">
      <c r="F682" s="37" t="s">
        <v>249</v>
      </c>
      <c r="G682" s="37" t="s">
        <v>207</v>
      </c>
      <c r="H682" s="37"/>
      <c r="I682" s="37"/>
      <c r="J682" s="368">
        <f t="shared" si="256"/>
        <v>0</v>
      </c>
      <c r="K682" s="368">
        <f t="shared" si="256"/>
        <v>473.37332158188559</v>
      </c>
      <c r="L682" s="368">
        <f t="shared" si="256"/>
        <v>2272.2854975568143</v>
      </c>
      <c r="M682" s="368">
        <f t="shared" si="256"/>
        <v>3166.0324449373697</v>
      </c>
      <c r="N682" s="368">
        <f t="shared" si="256"/>
        <v>8378.9211259812218</v>
      </c>
      <c r="AQ682" s="3"/>
    </row>
    <row r="683" spans="5:43" x14ac:dyDescent="0.35">
      <c r="J683" s="89"/>
      <c r="K683" s="89"/>
      <c r="L683" s="89"/>
      <c r="M683" s="89"/>
      <c r="N683" s="89"/>
      <c r="AQ683" s="3"/>
    </row>
    <row r="684" spans="5:43" x14ac:dyDescent="0.35">
      <c r="J684" s="387" t="s">
        <v>983</v>
      </c>
      <c r="K684" s="387" t="s">
        <v>988</v>
      </c>
      <c r="L684" s="387" t="s">
        <v>989</v>
      </c>
      <c r="M684" s="387" t="s">
        <v>990</v>
      </c>
      <c r="N684" s="387" t="s">
        <v>991</v>
      </c>
      <c r="AQ684" s="3"/>
    </row>
    <row r="685" spans="5:43" x14ac:dyDescent="0.35">
      <c r="E685" s="24" t="s">
        <v>997</v>
      </c>
      <c r="G685" t="s">
        <v>207</v>
      </c>
      <c r="J685" s="89">
        <f>SUM(J680:J682)</f>
        <v>0</v>
      </c>
      <c r="K685" s="89">
        <f>SUM(K680:K682)</f>
        <v>783.62770860565843</v>
      </c>
      <c r="L685" s="89">
        <f t="shared" ref="L685:N685" si="257">SUM(L680:L682)</f>
        <v>3761.5678716281363</v>
      </c>
      <c r="M685" s="89">
        <f t="shared" si="257"/>
        <v>5241.0869753002589</v>
      </c>
      <c r="N685" s="89">
        <f t="shared" si="257"/>
        <v>13870.563597877808</v>
      </c>
      <c r="AQ685" s="3"/>
    </row>
    <row r="686" spans="5:43" x14ac:dyDescent="0.35">
      <c r="J686" s="89"/>
      <c r="K686" s="89"/>
      <c r="L686" s="89"/>
      <c r="M686" s="89"/>
      <c r="N686" s="89"/>
      <c r="AQ686" s="3"/>
    </row>
    <row r="687" spans="5:43" x14ac:dyDescent="0.35">
      <c r="E687" t="s">
        <v>1041</v>
      </c>
      <c r="G687" t="s">
        <v>207</v>
      </c>
      <c r="H687" s="89">
        <f>SUM(J685:N685)</f>
        <v>23656.846153411861</v>
      </c>
      <c r="AQ687" s="3"/>
    </row>
    <row r="688" spans="5:43" x14ac:dyDescent="0.35">
      <c r="J688" s="387" t="s">
        <v>983</v>
      </c>
      <c r="K688" s="387" t="s">
        <v>988</v>
      </c>
      <c r="L688" s="387" t="s">
        <v>989</v>
      </c>
      <c r="M688" s="387" t="s">
        <v>990</v>
      </c>
      <c r="N688" s="387" t="s">
        <v>991</v>
      </c>
      <c r="AQ688" s="3"/>
    </row>
    <row r="689" spans="2:43" x14ac:dyDescent="0.35">
      <c r="E689" s="24" t="s">
        <v>996</v>
      </c>
      <c r="G689" t="s">
        <v>167</v>
      </c>
      <c r="J689" s="111">
        <f>IF($H687 &lt;&gt; 0, J685/$H687, 0)</f>
        <v>0</v>
      </c>
      <c r="K689" s="111">
        <f>IF($H687 &lt;&gt; 0, K685/$H687, 0)</f>
        <v>3.3124775108394629E-2</v>
      </c>
      <c r="L689" s="111">
        <f>IF($H687 &lt;&gt; 0, L685/$H687, 0)</f>
        <v>0.15900546705316557</v>
      </c>
      <c r="M689" s="111">
        <f>IF($H687 &lt;&gt; 0, M685/$H687, 0)</f>
        <v>0.22154631015953805</v>
      </c>
      <c r="N689" s="111">
        <f>IF($H687 &lt;&gt; 0, N685/$H687, 0)</f>
        <v>0.58632344767890177</v>
      </c>
      <c r="AQ689" s="3"/>
    </row>
    <row r="690" spans="2:43" x14ac:dyDescent="0.35">
      <c r="AQ690" s="3"/>
    </row>
    <row r="691" spans="2:43" x14ac:dyDescent="0.35">
      <c r="B691" s="30" t="s">
        <v>231</v>
      </c>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C691" s="30"/>
      <c r="AD691" s="30"/>
      <c r="AE691" s="30"/>
      <c r="AF691" s="30"/>
      <c r="AG691" s="30"/>
      <c r="AH691" s="30"/>
      <c r="AI691" s="30"/>
      <c r="AJ691" s="30"/>
      <c r="AK691" s="30"/>
      <c r="AL691" s="30"/>
      <c r="AM691" s="30"/>
      <c r="AN691" s="30"/>
      <c r="AO691" s="30"/>
      <c r="AQ691" s="30"/>
    </row>
    <row r="693" spans="2:43" x14ac:dyDescent="0.35">
      <c r="E693" t="s">
        <v>232</v>
      </c>
      <c r="G693" s="6" t="s">
        <v>55</v>
      </c>
      <c r="H693" s="103">
        <f t="array" ref="H693">SUM(IF(ISERROR(H22:Y309), 1))</f>
        <v>0</v>
      </c>
    </row>
    <row r="695" spans="2:43" x14ac:dyDescent="0.35">
      <c r="B695" s="30" t="s">
        <v>106</v>
      </c>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C695" s="30"/>
      <c r="AD695" s="30"/>
      <c r="AE695" s="30"/>
      <c r="AF695" s="30"/>
      <c r="AG695" s="30"/>
      <c r="AH695" s="30"/>
      <c r="AI695" s="30"/>
      <c r="AJ695" s="30"/>
      <c r="AK695" s="30"/>
      <c r="AL695" s="30"/>
      <c r="AM695" s="30"/>
      <c r="AN695" s="30"/>
      <c r="AO695" s="30"/>
      <c r="AQ695" s="30"/>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6" width="24.54296875" hidden="1" customWidth="1"/>
    <col min="307" max="16384" width="8.7265625" hidden="1"/>
  </cols>
  <sheetData>
    <row r="1" spans="1:27" s="1" customFormat="1" x14ac:dyDescent="0.35">
      <c r="A1" s="1" t="str">
        <f ca="1">MID(CELL("filename",A1),FIND("]",CELL("filename",A1))+1,255)</f>
        <v>Pseudo-load coefficients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H306 &amp; IF(H306 = 1, " issue", " issues") &amp;" identified in checks on this sheet"</f>
        <v>0 issues identified in checks on this sheet</v>
      </c>
      <c r="B4" s="13"/>
      <c r="C4" s="13"/>
      <c r="D4" s="13"/>
      <c r="E4" s="13"/>
      <c r="F4" s="13"/>
      <c r="G4" s="13"/>
      <c r="H4" s="14"/>
      <c r="I4" s="14"/>
    </row>
    <row r="5" spans="1:27" ht="43.5" x14ac:dyDescent="0.35">
      <c r="B5" s="59" t="s">
        <v>142</v>
      </c>
      <c r="C5" s="60"/>
      <c r="D5" s="60"/>
      <c r="E5" s="60"/>
      <c r="F5" s="60"/>
      <c r="G5" s="60" t="s">
        <v>143</v>
      </c>
      <c r="H5" s="114" t="s">
        <v>144</v>
      </c>
      <c r="I5" s="14"/>
      <c r="J5" s="114" t="s">
        <v>829</v>
      </c>
      <c r="K5" s="114" t="s">
        <v>831</v>
      </c>
      <c r="L5" s="114" t="s">
        <v>830</v>
      </c>
      <c r="M5" s="114" t="s">
        <v>832</v>
      </c>
      <c r="N5" s="114" t="s">
        <v>838</v>
      </c>
      <c r="O5" s="114" t="s">
        <v>839</v>
      </c>
      <c r="P5" s="114" t="s">
        <v>840</v>
      </c>
      <c r="Q5" s="114" t="s">
        <v>841</v>
      </c>
      <c r="R5" s="114" t="s">
        <v>833</v>
      </c>
      <c r="S5" s="114" t="s">
        <v>834</v>
      </c>
      <c r="T5" s="114" t="s">
        <v>835</v>
      </c>
      <c r="U5" s="114" t="s">
        <v>844</v>
      </c>
      <c r="V5" s="114" t="s">
        <v>836</v>
      </c>
      <c r="W5" s="114" t="s">
        <v>843</v>
      </c>
      <c r="X5" s="114" t="s">
        <v>837</v>
      </c>
      <c r="Y5" s="114" t="s">
        <v>842</v>
      </c>
      <c r="AA5" s="60" t="s">
        <v>145</v>
      </c>
    </row>
    <row r="7" spans="1:27" x14ac:dyDescent="0.35">
      <c r="B7" s="30" t="s">
        <v>10</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35">
      <c r="C9" s="29" t="s">
        <v>864</v>
      </c>
    </row>
    <row r="10" spans="1:27" x14ac:dyDescent="0.35">
      <c r="C10" s="29" t="s">
        <v>456</v>
      </c>
    </row>
    <row r="11" spans="1:27" x14ac:dyDescent="0.35">
      <c r="C11" s="29" t="s">
        <v>457</v>
      </c>
    </row>
    <row r="13" spans="1:27" x14ac:dyDescent="0.35">
      <c r="B13" s="30" t="s">
        <v>458</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35">
      <c r="C15" s="29" t="s">
        <v>861</v>
      </c>
      <c r="I15" t="s">
        <v>154</v>
      </c>
      <c r="AA15" t="s">
        <v>862</v>
      </c>
    </row>
    <row r="16" spans="1:27" x14ac:dyDescent="0.35">
      <c r="C16" s="29" t="s">
        <v>459</v>
      </c>
    </row>
    <row r="18" spans="3:27" x14ac:dyDescent="0.3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11" customFormat="1" x14ac:dyDescent="0.35">
      <c r="E20" s="312" t="s">
        <v>460</v>
      </c>
      <c r="F20" s="313"/>
      <c r="G20" s="313" t="s">
        <v>461</v>
      </c>
      <c r="J20" s="314" t="b">
        <f>'Fixed inputs'!J127</f>
        <v>0</v>
      </c>
      <c r="K20" s="314" t="b">
        <f>'Fixed inputs'!K127</f>
        <v>0</v>
      </c>
      <c r="L20" s="314" t="b">
        <f>'Fixed inputs'!L127</f>
        <v>0</v>
      </c>
      <c r="M20" s="314" t="b">
        <f>'Fixed inputs'!M127</f>
        <v>0</v>
      </c>
      <c r="N20" s="314" t="b">
        <f>'Fixed inputs'!N127</f>
        <v>0</v>
      </c>
      <c r="O20" s="314" t="b">
        <f>'Fixed inputs'!O127</f>
        <v>0</v>
      </c>
      <c r="P20" s="314" t="b">
        <f>'Fixed inputs'!P127</f>
        <v>0</v>
      </c>
      <c r="Q20" s="314" t="b">
        <f>'Fixed inputs'!Q127</f>
        <v>1</v>
      </c>
      <c r="R20" s="314" t="b">
        <f>'Fixed inputs'!R127</f>
        <v>0</v>
      </c>
      <c r="S20" s="314" t="b">
        <f>'Fixed inputs'!S127</f>
        <v>0</v>
      </c>
      <c r="T20" s="314" t="b">
        <f>'Fixed inputs'!T127</f>
        <v>0</v>
      </c>
      <c r="U20" s="314" t="b">
        <f>'Fixed inputs'!U127</f>
        <v>0</v>
      </c>
      <c r="V20" s="314" t="b">
        <f>'Fixed inputs'!V127</f>
        <v>0</v>
      </c>
      <c r="W20" s="314" t="b">
        <f>'Fixed inputs'!W127</f>
        <v>0</v>
      </c>
      <c r="X20" s="314" t="b">
        <f>'Fixed inputs'!X127</f>
        <v>0</v>
      </c>
      <c r="Y20" s="314" t="b">
        <f>'Fixed inputs'!Y127</f>
        <v>0</v>
      </c>
    </row>
    <row r="22" spans="3:27" x14ac:dyDescent="0.35">
      <c r="E22" s="32" t="s">
        <v>462</v>
      </c>
      <c r="I22" t="s">
        <v>154</v>
      </c>
      <c r="AA22" t="s">
        <v>463</v>
      </c>
    </row>
    <row r="23" spans="3:27" x14ac:dyDescent="0.35">
      <c r="E23" s="29" t="s">
        <v>464</v>
      </c>
      <c r="F23" s="29"/>
    </row>
    <row r="24" spans="3:27" x14ac:dyDescent="0.35">
      <c r="F24" s="64" t="s">
        <v>465</v>
      </c>
      <c r="G24" s="64" t="s">
        <v>147</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258</v>
      </c>
      <c r="R24" s="124">
        <f>IF(R$20, 'General inputs'!$H16, 'General inputs'!$H21)</f>
        <v>783</v>
      </c>
      <c r="S24" s="124">
        <f>IF(S$20, 'General inputs'!$H16, 'General inputs'!$H21)</f>
        <v>783</v>
      </c>
      <c r="T24" s="124">
        <f>IF(T$20, 'General inputs'!$H16, 'General inputs'!$H21)</f>
        <v>783</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row>
    <row r="25" spans="3:27" x14ac:dyDescent="0.35">
      <c r="F25" s="28" t="s">
        <v>466</v>
      </c>
      <c r="G25" t="s">
        <v>147</v>
      </c>
      <c r="H25" s="150"/>
      <c r="I25" s="150"/>
      <c r="J25" s="120">
        <f>IF(J$20, 'General inputs'!$H17, 'General inputs'!$H22)</f>
        <v>3703</v>
      </c>
      <c r="K25" s="120">
        <f>IF(K$20, 'General inputs'!$H17, 'General inputs'!$H22)</f>
        <v>3703</v>
      </c>
      <c r="L25" s="120">
        <f>IF(L$20, 'General inputs'!$H17, 'General inputs'!$H22)</f>
        <v>3703</v>
      </c>
      <c r="M25" s="120">
        <f>IF(M$20, 'General inputs'!$H17, 'General inputs'!$H22)</f>
        <v>3703</v>
      </c>
      <c r="N25" s="120">
        <f>IF(N$20, 'General inputs'!$H17, 'General inputs'!$H22)</f>
        <v>3703</v>
      </c>
      <c r="O25" s="120">
        <f>IF(O$20, 'General inputs'!$H17, 'General inputs'!$H22)</f>
        <v>3703</v>
      </c>
      <c r="P25" s="120">
        <f>IF(P$20, 'General inputs'!$H17, 'General inputs'!$H22)</f>
        <v>3703</v>
      </c>
      <c r="Q25" s="120">
        <f>IF(Q$20, 'General inputs'!$H17, 'General inputs'!$H22)</f>
        <v>4228</v>
      </c>
      <c r="R25" s="120">
        <f>IF(R$20, 'General inputs'!$H17, 'General inputs'!$H22)</f>
        <v>3703</v>
      </c>
      <c r="S25" s="120">
        <f>IF(S$20, 'General inputs'!$H17, 'General inputs'!$H22)</f>
        <v>3703</v>
      </c>
      <c r="T25" s="120">
        <f>IF(T$20, 'General inputs'!$H17, 'General inputs'!$H22)</f>
        <v>3703</v>
      </c>
      <c r="U25" s="120">
        <f>IF(U$20, 'General inputs'!$H17, 'General inputs'!$H22)</f>
        <v>3703</v>
      </c>
      <c r="V25" s="120">
        <f>IF(V$20, 'General inputs'!$H17, 'General inputs'!$H22)</f>
        <v>3703</v>
      </c>
      <c r="W25" s="120">
        <f>IF(W$20, 'General inputs'!$H17, 'General inputs'!$H22)</f>
        <v>3703</v>
      </c>
      <c r="X25" s="120">
        <f>IF(X$20, 'General inputs'!$H17, 'General inputs'!$H22)</f>
        <v>3703</v>
      </c>
      <c r="Y25" s="120">
        <f>IF(Y$20, 'General inputs'!$H17, 'General inputs'!$H22)</f>
        <v>3703</v>
      </c>
    </row>
    <row r="26" spans="3:27" x14ac:dyDescent="0.35">
      <c r="F26" s="67" t="s">
        <v>257</v>
      </c>
      <c r="G26" s="37" t="s">
        <v>147</v>
      </c>
      <c r="H26" s="151"/>
      <c r="I26" s="151"/>
      <c r="J26" s="125">
        <f>IF(J$20, 'General inputs'!$H18, 'General inputs'!$H23)</f>
        <v>4274</v>
      </c>
      <c r="K26" s="125">
        <f>IF(K$20, 'General inputs'!$H18, 'General inputs'!$H23)</f>
        <v>4274</v>
      </c>
      <c r="L26" s="125">
        <f>IF(L$20, 'General inputs'!$H18, 'General inputs'!$H23)</f>
        <v>4274</v>
      </c>
      <c r="M26" s="125">
        <f>IF(M$20, 'General inputs'!$H18, 'General inputs'!$H23)</f>
        <v>4274</v>
      </c>
      <c r="N26" s="125">
        <f>IF(N$20, 'General inputs'!$H18, 'General inputs'!$H23)</f>
        <v>4274</v>
      </c>
      <c r="O26" s="125">
        <f>IF(O$20, 'General inputs'!$H18, 'General inputs'!$H23)</f>
        <v>4274</v>
      </c>
      <c r="P26" s="125">
        <f>IF(P$20, 'General inputs'!$H18, 'General inputs'!$H23)</f>
        <v>4274</v>
      </c>
      <c r="Q26" s="125">
        <f>IF(Q$20, 'General inputs'!$H18, 'General inputs'!$H23)</f>
        <v>4274</v>
      </c>
      <c r="R26" s="125">
        <f>IF(R$20, 'General inputs'!$H18, 'General inputs'!$H23)</f>
        <v>4274</v>
      </c>
      <c r="S26" s="125">
        <f>IF(S$20, 'General inputs'!$H18, 'General inputs'!$H23)</f>
        <v>4274</v>
      </c>
      <c r="T26" s="125">
        <f>IF(T$20, 'General inputs'!$H18, 'General inputs'!$H23)</f>
        <v>4274</v>
      </c>
      <c r="U26" s="125">
        <f>IF(U$20, 'General inputs'!$H18, 'General inputs'!$H23)</f>
        <v>4274</v>
      </c>
      <c r="V26" s="125">
        <f>IF(V$20, 'General inputs'!$H18, 'General inputs'!$H23)</f>
        <v>4274</v>
      </c>
      <c r="W26" s="125">
        <f>IF(W$20, 'General inputs'!$H18, 'General inputs'!$H23)</f>
        <v>4274</v>
      </c>
      <c r="X26" s="125">
        <f>IF(X$20, 'General inputs'!$H18, 'General inputs'!$H23)</f>
        <v>4274</v>
      </c>
      <c r="Y26" s="125">
        <f>IF(Y$20, 'General inputs'!$H18, 'General inputs'!$H23)</f>
        <v>4274</v>
      </c>
    </row>
    <row r="27" spans="3:27" x14ac:dyDescent="0.35">
      <c r="J27" s="89"/>
      <c r="K27" s="89"/>
      <c r="L27" s="89"/>
      <c r="M27" s="89"/>
      <c r="N27" s="89"/>
      <c r="O27" s="89"/>
      <c r="P27" s="89"/>
      <c r="Q27" s="89"/>
      <c r="R27" s="89"/>
      <c r="S27" s="89"/>
      <c r="T27" s="89"/>
      <c r="U27" s="89"/>
      <c r="V27" s="89"/>
      <c r="W27" s="89"/>
      <c r="X27" s="89"/>
      <c r="Y27" s="89"/>
    </row>
    <row r="28" spans="3:27" x14ac:dyDescent="0.3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35">
      <c r="J29" s="89"/>
      <c r="K29" s="89"/>
      <c r="L29" s="89"/>
      <c r="M29" s="89"/>
      <c r="N29" s="89"/>
      <c r="O29" s="89"/>
      <c r="P29" s="89"/>
      <c r="Q29" s="89"/>
      <c r="R29" s="89"/>
      <c r="S29" s="89"/>
      <c r="T29" s="89"/>
      <c r="U29" s="89"/>
      <c r="V29" s="89"/>
      <c r="W29" s="89"/>
      <c r="X29" s="89"/>
      <c r="Y29" s="89"/>
    </row>
    <row r="30" spans="3:27" x14ac:dyDescent="0.35">
      <c r="E30" s="32" t="s">
        <v>467</v>
      </c>
      <c r="J30" s="89"/>
      <c r="K30" s="89"/>
      <c r="L30" s="89"/>
      <c r="M30" s="89"/>
      <c r="N30" s="89"/>
      <c r="O30" s="89"/>
      <c r="P30" s="89"/>
      <c r="Q30" s="89"/>
      <c r="R30" s="89"/>
      <c r="S30" s="89"/>
      <c r="T30" s="89"/>
      <c r="U30" s="89"/>
      <c r="V30" s="89"/>
      <c r="W30" s="89"/>
      <c r="X30" s="89"/>
      <c r="Y30" s="89"/>
    </row>
    <row r="31" spans="3:27" x14ac:dyDescent="0.35">
      <c r="F31" s="64" t="s">
        <v>156</v>
      </c>
      <c r="G31" s="64" t="s">
        <v>207</v>
      </c>
      <c r="H31" s="23"/>
      <c r="I31" s="23"/>
      <c r="J31" s="124">
        <f>'Volume adjustments'!J238</f>
        <v>324470.38323020173</v>
      </c>
      <c r="K31" s="124">
        <f>'Volume adjustments'!K238</f>
        <v>9396.1650095049135</v>
      </c>
      <c r="L31" s="124">
        <f>'Volume adjustments'!L238</f>
        <v>103938.13739618154</v>
      </c>
      <c r="M31" s="124">
        <f>'Volume adjustments'!M238</f>
        <v>454.90419700623829</v>
      </c>
      <c r="N31" s="124">
        <f>'Volume adjustments'!N238</f>
        <v>141735.89806032833</v>
      </c>
      <c r="O31" s="124">
        <f>'Volume adjustments'!O238</f>
        <v>11299.239159364599</v>
      </c>
      <c r="P31" s="124">
        <f>'Volume adjustments'!P238</f>
        <v>74085.672420796604</v>
      </c>
      <c r="Q31" s="124">
        <f>'Volume adjustments'!Q238</f>
        <v>6024.6308921944819</v>
      </c>
      <c r="R31" s="124">
        <f>'Volume adjustments'!R238</f>
        <v>650.78467700282442</v>
      </c>
      <c r="S31" s="124">
        <f>'Volume adjustments'!S238</f>
        <v>0.19900000000000004</v>
      </c>
      <c r="T31" s="124">
        <f>'Volume adjustments'!T238</f>
        <v>37028.598245563808</v>
      </c>
      <c r="U31" s="124">
        <f>'Volume adjustments'!U238</f>
        <v>0</v>
      </c>
      <c r="V31" s="124">
        <f>'Volume adjustments'!V238</f>
        <v>324.10167419354838</v>
      </c>
      <c r="W31" s="124">
        <f>'Volume adjustments'!W238</f>
        <v>0</v>
      </c>
      <c r="X31" s="124">
        <f>'Volume adjustments'!X238</f>
        <v>166464.50181248464</v>
      </c>
      <c r="Y31" s="124">
        <f>'Volume adjustments'!Y238</f>
        <v>0</v>
      </c>
    </row>
    <row r="32" spans="3:27" x14ac:dyDescent="0.35">
      <c r="F32" s="28" t="s">
        <v>157</v>
      </c>
      <c r="G32" s="28" t="s">
        <v>207</v>
      </c>
      <c r="J32" s="120">
        <f>'Volume adjustments'!J249</f>
        <v>1243340.7641607483</v>
      </c>
      <c r="K32" s="120">
        <f>'Volume adjustments'!K249</f>
        <v>146290.47824065451</v>
      </c>
      <c r="L32" s="120">
        <f>'Volume adjustments'!L249</f>
        <v>541032.62300429156</v>
      </c>
      <c r="M32" s="120">
        <f>'Volume adjustments'!M249</f>
        <v>8911.3295663483332</v>
      </c>
      <c r="N32" s="120">
        <f>'Volume adjustments'!N249</f>
        <v>710097.98978704691</v>
      </c>
      <c r="O32" s="120">
        <f>'Volume adjustments'!O249</f>
        <v>53325.906839994132</v>
      </c>
      <c r="P32" s="120">
        <f>'Volume adjustments'!P249</f>
        <v>365809.35023276234</v>
      </c>
      <c r="Q32" s="120">
        <f>'Volume adjustments'!Q249</f>
        <v>29317.628247349428</v>
      </c>
      <c r="R32" s="120">
        <f>'Volume adjustments'!R249</f>
        <v>3502.3381089269142</v>
      </c>
      <c r="S32" s="120">
        <f>'Volume adjustments'!S249</f>
        <v>1.391</v>
      </c>
      <c r="T32" s="120">
        <f>'Volume adjustments'!T249</f>
        <v>177224.06606561315</v>
      </c>
      <c r="U32" s="120">
        <f>'Volume adjustments'!U249</f>
        <v>0</v>
      </c>
      <c r="V32" s="120">
        <f>'Volume adjustments'!V249</f>
        <v>1487.9755864997869</v>
      </c>
      <c r="W32" s="120">
        <f>'Volume adjustments'!W249</f>
        <v>0</v>
      </c>
      <c r="X32" s="120">
        <f>'Volume adjustments'!X249</f>
        <v>712457.12239743408</v>
      </c>
      <c r="Y32" s="120">
        <f>'Volume adjustments'!Y249</f>
        <v>0</v>
      </c>
    </row>
    <row r="33" spans="3:27" x14ac:dyDescent="0.35">
      <c r="F33" s="28" t="s">
        <v>158</v>
      </c>
      <c r="G33" s="28" t="s">
        <v>207</v>
      </c>
      <c r="J33" s="120">
        <f>'Volume adjustments'!J260</f>
        <v>1018610.3392766328</v>
      </c>
      <c r="K33" s="120">
        <f>'Volume adjustments'!K260</f>
        <v>211336.36964169086</v>
      </c>
      <c r="L33" s="120">
        <f>'Volume adjustments'!L260</f>
        <v>362610.31957838475</v>
      </c>
      <c r="M33" s="120">
        <f>'Volume adjustments'!M260</f>
        <v>14290.612390057293</v>
      </c>
      <c r="N33" s="120">
        <f>'Volume adjustments'!N260</f>
        <v>566954.89913548913</v>
      </c>
      <c r="O33" s="120">
        <f>'Volume adjustments'!O260</f>
        <v>52066.710837322069</v>
      </c>
      <c r="P33" s="120">
        <f>'Volume adjustments'!P260</f>
        <v>339465.81487819989</v>
      </c>
      <c r="Q33" s="120">
        <f>'Volume adjustments'!Q260</f>
        <v>60946.957515069895</v>
      </c>
      <c r="R33" s="120">
        <f>'Volume adjustments'!R260</f>
        <v>2112.3642325825435</v>
      </c>
      <c r="S33" s="120">
        <f>'Volume adjustments'!S260</f>
        <v>0.64400000000000013</v>
      </c>
      <c r="T33" s="120">
        <f>'Volume adjustments'!T260</f>
        <v>193113.18812858776</v>
      </c>
      <c r="U33" s="120">
        <f>'Volume adjustments'!U260</f>
        <v>0</v>
      </c>
      <c r="V33" s="120">
        <f>'Volume adjustments'!V260</f>
        <v>1570.8366193548386</v>
      </c>
      <c r="W33" s="120">
        <f>'Volume adjustments'!W260</f>
        <v>0</v>
      </c>
      <c r="X33" s="120">
        <f>'Volume adjustments'!X260</f>
        <v>746890.70756556396</v>
      </c>
      <c r="Y33" s="120">
        <f>'Volume adjustments'!Y260</f>
        <v>0</v>
      </c>
    </row>
    <row r="34" spans="3:27" x14ac:dyDescent="0.35">
      <c r="F34" s="152" t="s">
        <v>455</v>
      </c>
      <c r="G34" s="152" t="s">
        <v>207</v>
      </c>
      <c r="H34" s="108"/>
      <c r="I34" s="108"/>
      <c r="J34" s="153">
        <f t="shared" ref="J34:Y34" si="0">SUM(J31:J33)</f>
        <v>2586421.4866675828</v>
      </c>
      <c r="K34" s="153">
        <f t="shared" si="0"/>
        <v>367023.01289185032</v>
      </c>
      <c r="L34" s="153">
        <f t="shared" si="0"/>
        <v>1007581.0799788579</v>
      </c>
      <c r="M34" s="153">
        <f t="shared" si="0"/>
        <v>23656.846153411865</v>
      </c>
      <c r="N34" s="153">
        <f t="shared" si="0"/>
        <v>1418788.7869828644</v>
      </c>
      <c r="O34" s="153">
        <f t="shared" si="0"/>
        <v>116691.8568366808</v>
      </c>
      <c r="P34" s="153">
        <f t="shared" si="0"/>
        <v>779360.83753175882</v>
      </c>
      <c r="Q34" s="153">
        <f t="shared" si="0"/>
        <v>96289.216654613803</v>
      </c>
      <c r="R34" s="153">
        <f t="shared" si="0"/>
        <v>6265.4870185122818</v>
      </c>
      <c r="S34" s="153">
        <f t="shared" si="0"/>
        <v>2.234</v>
      </c>
      <c r="T34" s="153">
        <f t="shared" si="0"/>
        <v>407365.85243976471</v>
      </c>
      <c r="U34" s="153">
        <f t="shared" si="0"/>
        <v>0</v>
      </c>
      <c r="V34" s="153">
        <f t="shared" si="0"/>
        <v>3382.9138800481742</v>
      </c>
      <c r="W34" s="153">
        <f t="shared" si="0"/>
        <v>0</v>
      </c>
      <c r="X34" s="153">
        <f t="shared" si="0"/>
        <v>1625812.3317754827</v>
      </c>
      <c r="Y34" s="153">
        <f t="shared" si="0"/>
        <v>0</v>
      </c>
    </row>
    <row r="35" spans="3:27" x14ac:dyDescent="0.35">
      <c r="F35" s="28"/>
      <c r="G35" s="28"/>
      <c r="J35" s="25"/>
      <c r="K35" s="25"/>
      <c r="L35" s="25"/>
      <c r="M35" s="25"/>
      <c r="N35" s="25"/>
      <c r="O35" s="25"/>
      <c r="P35" s="25"/>
      <c r="Q35" s="25"/>
      <c r="R35" s="25"/>
      <c r="S35" s="25"/>
      <c r="T35" s="25"/>
      <c r="U35" s="25"/>
      <c r="V35" s="25"/>
      <c r="W35" s="25"/>
      <c r="X35" s="25"/>
      <c r="Y35" s="25"/>
      <c r="Z35" s="25"/>
    </row>
    <row r="36" spans="3:27" x14ac:dyDescent="0.3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35">
      <c r="J37" s="89"/>
      <c r="K37" s="89"/>
      <c r="L37" s="89"/>
      <c r="M37" s="89"/>
      <c r="N37" s="89"/>
      <c r="O37" s="89"/>
      <c r="P37" s="89"/>
      <c r="Q37" s="89"/>
      <c r="R37" s="89"/>
      <c r="S37" s="89"/>
      <c r="T37" s="89"/>
      <c r="U37" s="89"/>
      <c r="V37" s="89"/>
      <c r="W37" s="89"/>
      <c r="X37" s="89"/>
      <c r="Y37" s="89"/>
    </row>
    <row r="38" spans="3:27" x14ac:dyDescent="0.35">
      <c r="E38" s="28" t="s">
        <v>848</v>
      </c>
      <c r="F38" s="28"/>
      <c r="G38" s="28" t="s">
        <v>149</v>
      </c>
      <c r="I38" s="320" t="s">
        <v>154</v>
      </c>
      <c r="J38" s="315">
        <f>'Fixed inputs'!J149</f>
        <v>1</v>
      </c>
      <c r="K38" s="315">
        <f>'Fixed inputs'!K149</f>
        <v>1</v>
      </c>
      <c r="L38" s="315">
        <f>'Fixed inputs'!L149</f>
        <v>2</v>
      </c>
      <c r="M38" s="315">
        <f>'Fixed inputs'!M149</f>
        <v>2</v>
      </c>
      <c r="N38" s="315">
        <f>'Fixed inputs'!N149</f>
        <v>3</v>
      </c>
      <c r="O38" s="315">
        <f>'Fixed inputs'!O149</f>
        <v>4</v>
      </c>
      <c r="P38" s="315">
        <f>'Fixed inputs'!P149</f>
        <v>5</v>
      </c>
      <c r="Q38" s="316"/>
      <c r="R38" s="316"/>
      <c r="S38" s="316"/>
      <c r="T38" s="316"/>
      <c r="U38" s="316"/>
      <c r="V38" s="316"/>
      <c r="W38" s="316"/>
      <c r="X38" s="316"/>
      <c r="Y38" s="316"/>
      <c r="AA38" s="320" t="s">
        <v>860</v>
      </c>
    </row>
    <row r="39" spans="3:27" x14ac:dyDescent="0.35">
      <c r="J39" s="89"/>
      <c r="K39" s="89"/>
      <c r="L39" s="89"/>
      <c r="M39" s="89"/>
      <c r="N39" s="89"/>
      <c r="O39" s="89"/>
      <c r="P39" s="89"/>
      <c r="Q39" s="89"/>
      <c r="R39" s="89"/>
      <c r="S39" s="89"/>
      <c r="T39" s="89"/>
      <c r="U39" s="89"/>
      <c r="V39" s="89"/>
      <c r="W39" s="89"/>
      <c r="X39" s="89"/>
      <c r="Y39" s="89"/>
    </row>
    <row r="40" spans="3:27" x14ac:dyDescent="0.35">
      <c r="E40" s="32" t="s">
        <v>849</v>
      </c>
      <c r="J40" s="89"/>
      <c r="K40" s="89"/>
      <c r="L40" s="89"/>
      <c r="M40" s="89"/>
      <c r="N40" s="89"/>
      <c r="O40" s="89"/>
      <c r="P40" s="89"/>
      <c r="Q40" s="89"/>
      <c r="R40" s="89"/>
      <c r="S40" s="89"/>
      <c r="T40" s="89"/>
      <c r="U40" s="89"/>
      <c r="V40" s="89"/>
      <c r="W40" s="89"/>
      <c r="X40" s="89"/>
      <c r="Y40" s="89"/>
    </row>
    <row r="41" spans="3:27" x14ac:dyDescent="0.35">
      <c r="E41" s="29" t="s">
        <v>464</v>
      </c>
    </row>
    <row r="42" spans="3:27" x14ac:dyDescent="0.35">
      <c r="F42" s="64" t="s">
        <v>465</v>
      </c>
      <c r="G42" s="64" t="s">
        <v>167</v>
      </c>
      <c r="H42" s="23"/>
      <c r="I42" s="23"/>
      <c r="J42" s="154">
        <f t="shared" ref="J42:P44" si="1">SUMIF($J$38:$Y$38, J$38, $J31:$Y31) / SUMIF($J$38:$Y$38, J$38, $J$34:$Y$34)</f>
        <v>0.11304310891554241</v>
      </c>
      <c r="K42" s="154">
        <f t="shared" si="1"/>
        <v>0.11304310891554241</v>
      </c>
      <c r="L42" s="154">
        <f t="shared" si="1"/>
        <v>0.1012308012998719</v>
      </c>
      <c r="M42" s="154">
        <f t="shared" si="1"/>
        <v>0.1012308012998719</v>
      </c>
      <c r="N42" s="154">
        <f t="shared" si="1"/>
        <v>9.9899223450826552E-2</v>
      </c>
      <c r="O42" s="154">
        <f t="shared" si="1"/>
        <v>9.6829714306275461E-2</v>
      </c>
      <c r="P42" s="154">
        <f t="shared" si="1"/>
        <v>9.5059526798172769E-2</v>
      </c>
      <c r="Q42" s="317"/>
      <c r="R42" s="317"/>
      <c r="S42" s="317"/>
      <c r="T42" s="317"/>
      <c r="U42" s="317"/>
      <c r="V42" s="317"/>
      <c r="W42" s="317"/>
      <c r="X42" s="317"/>
      <c r="Y42" s="317"/>
    </row>
    <row r="43" spans="3:27" x14ac:dyDescent="0.35">
      <c r="F43" s="28" t="s">
        <v>466</v>
      </c>
      <c r="G43" s="28" t="s">
        <v>167</v>
      </c>
      <c r="J43" s="145">
        <f t="shared" si="1"/>
        <v>0.4705120555367453</v>
      </c>
      <c r="K43" s="145">
        <f t="shared" si="1"/>
        <v>0.4705120555367453</v>
      </c>
      <c r="L43" s="145">
        <f t="shared" si="1"/>
        <v>0.53328522801061373</v>
      </c>
      <c r="M43" s="145">
        <f t="shared" si="1"/>
        <v>0.53328522801061373</v>
      </c>
      <c r="N43" s="145">
        <f t="shared" si="1"/>
        <v>0.50049591334670118</v>
      </c>
      <c r="O43" s="145">
        <f t="shared" si="1"/>
        <v>0.45698053219452855</v>
      </c>
      <c r="P43" s="145">
        <f t="shared" si="1"/>
        <v>0.4693709673574093</v>
      </c>
      <c r="Q43" s="70"/>
      <c r="R43" s="70"/>
      <c r="S43" s="70"/>
      <c r="T43" s="70"/>
      <c r="U43" s="70"/>
      <c r="V43" s="70"/>
      <c r="W43" s="70"/>
      <c r="X43" s="70"/>
      <c r="Y43" s="70"/>
    </row>
    <row r="44" spans="3:27" x14ac:dyDescent="0.35">
      <c r="F44" s="67" t="s">
        <v>257</v>
      </c>
      <c r="G44" s="67" t="s">
        <v>167</v>
      </c>
      <c r="H44" s="37"/>
      <c r="I44" s="37"/>
      <c r="J44" s="155">
        <f t="shared" si="1"/>
        <v>0.41644483554771233</v>
      </c>
      <c r="K44" s="155">
        <f t="shared" si="1"/>
        <v>0.41644483554771233</v>
      </c>
      <c r="L44" s="155">
        <f t="shared" si="1"/>
        <v>0.36548397068951433</v>
      </c>
      <c r="M44" s="155">
        <f t="shared" si="1"/>
        <v>0.36548397068951433</v>
      </c>
      <c r="N44" s="155">
        <f t="shared" si="1"/>
        <v>0.39960486320247229</v>
      </c>
      <c r="O44" s="155">
        <f t="shared" si="1"/>
        <v>0.44618975349919593</v>
      </c>
      <c r="P44" s="155">
        <f t="shared" si="1"/>
        <v>0.43556950584441795</v>
      </c>
      <c r="Q44" s="71"/>
      <c r="R44" s="71"/>
      <c r="S44" s="71"/>
      <c r="T44" s="71"/>
      <c r="U44" s="71"/>
      <c r="V44" s="71"/>
      <c r="W44" s="71"/>
      <c r="X44" s="71"/>
      <c r="Y44" s="71"/>
    </row>
    <row r="45" spans="3:27" x14ac:dyDescent="0.35">
      <c r="J45" s="89"/>
      <c r="K45" s="89"/>
      <c r="L45" s="89"/>
      <c r="M45" s="89"/>
      <c r="N45" s="89"/>
      <c r="O45" s="89"/>
      <c r="P45" s="89"/>
      <c r="Q45" s="89"/>
      <c r="R45" s="89"/>
      <c r="S45" s="89"/>
      <c r="T45" s="89"/>
      <c r="U45" s="89"/>
      <c r="V45" s="89"/>
      <c r="W45" s="89"/>
      <c r="X45" s="89"/>
      <c r="Y45" s="89"/>
    </row>
    <row r="46" spans="3:27" x14ac:dyDescent="0.35">
      <c r="E46" s="32" t="s">
        <v>850</v>
      </c>
      <c r="F46" s="28"/>
      <c r="G46" s="28"/>
    </row>
    <row r="47" spans="3:27" x14ac:dyDescent="0.35">
      <c r="E47" s="29" t="s">
        <v>464</v>
      </c>
    </row>
    <row r="48" spans="3:27" x14ac:dyDescent="0.35">
      <c r="F48" s="64" t="s">
        <v>465</v>
      </c>
      <c r="G48" s="64" t="s">
        <v>167</v>
      </c>
      <c r="H48" s="23"/>
      <c r="I48" s="23"/>
      <c r="J48" s="154">
        <f>IF(ISNUMBER(J$38), J42, IF(J$34 = 0, 0, J31 / J$34))</f>
        <v>0.11304310891554241</v>
      </c>
      <c r="K48" s="154">
        <f t="shared" ref="K48:Y48" si="2">IF(ISNUMBER(K$38), K42, IF(K$34 = 0, 0, K31 / K$34))</f>
        <v>0.11304310891554241</v>
      </c>
      <c r="L48" s="154">
        <f t="shared" si="2"/>
        <v>0.1012308012998719</v>
      </c>
      <c r="M48" s="154">
        <f t="shared" si="2"/>
        <v>0.1012308012998719</v>
      </c>
      <c r="N48" s="154">
        <f t="shared" si="2"/>
        <v>9.9899223450826552E-2</v>
      </c>
      <c r="O48" s="154">
        <f t="shared" si="2"/>
        <v>9.6829714306275461E-2</v>
      </c>
      <c r="P48" s="154">
        <f t="shared" si="2"/>
        <v>9.5059526798172769E-2</v>
      </c>
      <c r="Q48" s="154">
        <f t="shared" si="2"/>
        <v>6.2568074614259575E-2</v>
      </c>
      <c r="R48" s="154">
        <f t="shared" si="2"/>
        <v>0.10386817099452725</v>
      </c>
      <c r="S48" s="154">
        <f t="shared" si="2"/>
        <v>8.907788719785141E-2</v>
      </c>
      <c r="T48" s="154">
        <f t="shared" si="2"/>
        <v>9.0897648940859749E-2</v>
      </c>
      <c r="U48" s="154">
        <f t="shared" si="2"/>
        <v>0</v>
      </c>
      <c r="V48" s="154">
        <f t="shared" si="2"/>
        <v>9.580547589610322E-2</v>
      </c>
      <c r="W48" s="154">
        <f t="shared" si="2"/>
        <v>0</v>
      </c>
      <c r="X48" s="154">
        <f t="shared" si="2"/>
        <v>0.10238850976772676</v>
      </c>
      <c r="Y48" s="154">
        <f t="shared" si="2"/>
        <v>0</v>
      </c>
    </row>
    <row r="49" spans="2:27" x14ac:dyDescent="0.35">
      <c r="F49" s="28" t="s">
        <v>466</v>
      </c>
      <c r="G49" s="28" t="s">
        <v>167</v>
      </c>
      <c r="J49" s="145">
        <f t="shared" ref="J49:Y49" si="3">IF(ISNUMBER(J$38), J43, IF(J$34 = 0, 0, J32 / J$34))</f>
        <v>0.4705120555367453</v>
      </c>
      <c r="K49" s="145">
        <f t="shared" si="3"/>
        <v>0.4705120555367453</v>
      </c>
      <c r="L49" s="145">
        <f t="shared" si="3"/>
        <v>0.53328522801061373</v>
      </c>
      <c r="M49" s="145">
        <f t="shared" si="3"/>
        <v>0.53328522801061373</v>
      </c>
      <c r="N49" s="145">
        <f t="shared" si="3"/>
        <v>0.50049591334670118</v>
      </c>
      <c r="O49" s="145">
        <f t="shared" si="3"/>
        <v>0.45698053219452855</v>
      </c>
      <c r="P49" s="145">
        <f t="shared" si="3"/>
        <v>0.4693709673574093</v>
      </c>
      <c r="Q49" s="145">
        <f t="shared" si="3"/>
        <v>0.30447467812009293</v>
      </c>
      <c r="R49" s="145">
        <f t="shared" si="3"/>
        <v>0.55898896583438018</v>
      </c>
      <c r="S49" s="145">
        <f t="shared" si="3"/>
        <v>0.62264995523724265</v>
      </c>
      <c r="T49" s="145">
        <f t="shared" si="3"/>
        <v>0.43504890015742897</v>
      </c>
      <c r="U49" s="145">
        <f t="shared" si="3"/>
        <v>0</v>
      </c>
      <c r="V49" s="145">
        <f t="shared" si="3"/>
        <v>0.43985027087907941</v>
      </c>
      <c r="W49" s="145">
        <f t="shared" si="3"/>
        <v>0</v>
      </c>
      <c r="X49" s="145">
        <f t="shared" si="3"/>
        <v>0.43821608956514002</v>
      </c>
      <c r="Y49" s="145">
        <f t="shared" si="3"/>
        <v>0</v>
      </c>
    </row>
    <row r="50" spans="2:27" x14ac:dyDescent="0.35">
      <c r="F50" s="67" t="s">
        <v>257</v>
      </c>
      <c r="G50" s="67" t="s">
        <v>167</v>
      </c>
      <c r="H50" s="37"/>
      <c r="I50" s="37"/>
      <c r="J50" s="155">
        <f t="shared" ref="J50:Y50" si="4">IF(ISNUMBER(J$38), J44, IF(J$34 = 0, 0, J33 / J$34))</f>
        <v>0.41644483554771233</v>
      </c>
      <c r="K50" s="155">
        <f t="shared" si="4"/>
        <v>0.41644483554771233</v>
      </c>
      <c r="L50" s="155">
        <f t="shared" si="4"/>
        <v>0.36548397068951433</v>
      </c>
      <c r="M50" s="155">
        <f t="shared" si="4"/>
        <v>0.36548397068951433</v>
      </c>
      <c r="N50" s="155">
        <f t="shared" si="4"/>
        <v>0.39960486320247229</v>
      </c>
      <c r="O50" s="155">
        <f t="shared" si="4"/>
        <v>0.44618975349919593</v>
      </c>
      <c r="P50" s="155">
        <f t="shared" si="4"/>
        <v>0.43556950584441795</v>
      </c>
      <c r="Q50" s="155">
        <f t="shared" si="4"/>
        <v>0.6329572472656475</v>
      </c>
      <c r="R50" s="155">
        <f t="shared" si="4"/>
        <v>0.33714286317109265</v>
      </c>
      <c r="S50" s="155">
        <f t="shared" si="4"/>
        <v>0.28827215756490604</v>
      </c>
      <c r="T50" s="155">
        <f t="shared" si="4"/>
        <v>0.47405345090171125</v>
      </c>
      <c r="U50" s="155">
        <f t="shared" si="4"/>
        <v>0</v>
      </c>
      <c r="V50" s="155">
        <f t="shared" si="4"/>
        <v>0.46434425322481732</v>
      </c>
      <c r="W50" s="155">
        <f t="shared" si="4"/>
        <v>0</v>
      </c>
      <c r="X50" s="155">
        <f t="shared" si="4"/>
        <v>0.45939540066713319</v>
      </c>
      <c r="Y50" s="155">
        <f t="shared" si="4"/>
        <v>0</v>
      </c>
    </row>
    <row r="52" spans="2:27" x14ac:dyDescent="0.3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35">
      <c r="E54" t="s">
        <v>468</v>
      </c>
      <c r="G54" t="s">
        <v>283</v>
      </c>
      <c r="H54" s="89"/>
      <c r="I54" s="89"/>
      <c r="J54" s="89">
        <f t="shared" ref="J54:Y54" si="5">J48 * hours_in_year / J24</f>
        <v>1.2646968507026199</v>
      </c>
      <c r="K54" s="89">
        <f t="shared" si="5"/>
        <v>1.2646968507026199</v>
      </c>
      <c r="L54" s="89">
        <f t="shared" si="5"/>
        <v>1.1325438306345821</v>
      </c>
      <c r="M54" s="89">
        <f t="shared" si="5"/>
        <v>1.1325438306345821</v>
      </c>
      <c r="N54" s="89">
        <f t="shared" si="5"/>
        <v>1.11764648458396</v>
      </c>
      <c r="O54" s="89">
        <f t="shared" si="5"/>
        <v>1.0833056159935799</v>
      </c>
      <c r="P54" s="89">
        <f t="shared" si="5"/>
        <v>1.0635012193512048</v>
      </c>
      <c r="Q54" s="89">
        <f t="shared" si="5"/>
        <v>2.1244043938795114</v>
      </c>
      <c r="R54" s="89">
        <f t="shared" si="5"/>
        <v>1.1620500356475845</v>
      </c>
      <c r="S54" s="89">
        <f t="shared" si="5"/>
        <v>0.99658019393764807</v>
      </c>
      <c r="T54" s="89">
        <f t="shared" si="5"/>
        <v>1.0169392142042546</v>
      </c>
      <c r="U54" s="89">
        <f t="shared" si="5"/>
        <v>0</v>
      </c>
      <c r="V54" s="89">
        <f t="shared" si="5"/>
        <v>1.0718467035119594</v>
      </c>
      <c r="W54" s="89">
        <f t="shared" si="5"/>
        <v>0</v>
      </c>
      <c r="X54" s="89">
        <f t="shared" si="5"/>
        <v>1.1454959713477477</v>
      </c>
      <c r="Y54" s="89">
        <f t="shared" si="5"/>
        <v>0</v>
      </c>
    </row>
    <row r="55" spans="2:27" x14ac:dyDescent="0.35">
      <c r="J55" s="63"/>
      <c r="K55" s="63"/>
      <c r="L55" s="63"/>
      <c r="M55" s="63"/>
      <c r="N55" s="63"/>
      <c r="O55" s="63"/>
      <c r="P55" s="63"/>
      <c r="Q55" s="63"/>
      <c r="R55" s="63"/>
      <c r="S55" s="63"/>
      <c r="T55" s="63"/>
      <c r="U55" s="63"/>
      <c r="V55" s="63"/>
      <c r="W55" s="63"/>
      <c r="X55" s="63"/>
      <c r="Y55" s="63"/>
    </row>
    <row r="56" spans="2:27" x14ac:dyDescent="0.35">
      <c r="B56" s="30" t="s">
        <v>469</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35">
      <c r="F57" s="28"/>
      <c r="G57" s="28"/>
    </row>
    <row r="58" spans="2:27" x14ac:dyDescent="0.35">
      <c r="C58" s="29" t="s">
        <v>470</v>
      </c>
      <c r="F58" s="28"/>
      <c r="G58" s="28"/>
    </row>
    <row r="59" spans="2:27" x14ac:dyDescent="0.35">
      <c r="F59" s="28"/>
      <c r="G59" s="28"/>
    </row>
    <row r="60" spans="2:27" x14ac:dyDescent="0.3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35">
      <c r="D61" s="32"/>
      <c r="J61" s="25"/>
      <c r="K61" s="25"/>
      <c r="L61" s="25"/>
      <c r="M61" s="25"/>
      <c r="N61" s="25"/>
      <c r="O61" s="25"/>
      <c r="P61" s="25"/>
      <c r="Q61" s="25"/>
      <c r="R61" s="25"/>
      <c r="S61" s="25"/>
      <c r="T61" s="25"/>
      <c r="U61" s="25"/>
      <c r="V61" s="25"/>
      <c r="W61" s="25"/>
      <c r="X61" s="25"/>
      <c r="Y61" s="25"/>
    </row>
    <row r="62" spans="2:27" x14ac:dyDescent="0.35">
      <c r="E62" s="28" t="s">
        <v>241</v>
      </c>
      <c r="G62" s="28" t="s">
        <v>167</v>
      </c>
      <c r="J62" s="25">
        <f>'Inputs by customer type'!J15</f>
        <v>0.4335299284783149</v>
      </c>
      <c r="K62" s="25">
        <f>'Inputs by customer type'!K15</f>
        <v>0.16557931417887523</v>
      </c>
      <c r="L62" s="25">
        <f>'Inputs by customer type'!L15</f>
        <v>0.42228952312043272</v>
      </c>
      <c r="M62" s="25">
        <f>'Inputs by customer type'!M15</f>
        <v>0.21891578806652609</v>
      </c>
      <c r="N62" s="25">
        <f>'Inputs by customer type'!N15</f>
        <v>0.57745727286460158</v>
      </c>
      <c r="O62" s="25">
        <f>'Inputs by customer type'!O15</f>
        <v>0.71672866755943188</v>
      </c>
      <c r="P62" s="25">
        <f>'Inputs by customer type'!P15</f>
        <v>0.68760551445352636</v>
      </c>
      <c r="Q62" s="25">
        <f>'Inputs by customer type'!Q15</f>
        <v>0.48053399908135042</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35">
      <c r="E63" s="28" t="s">
        <v>243</v>
      </c>
      <c r="G63" s="28" t="s">
        <v>167</v>
      </c>
      <c r="J63" s="25">
        <f>'Inputs by customer type'!J16</f>
        <v>0.80988050883044271</v>
      </c>
      <c r="K63" s="25">
        <f>'Inputs by customer type'!K16</f>
        <v>0</v>
      </c>
      <c r="L63" s="25">
        <f>'Inputs by customer type'!L16</f>
        <v>0.7266010459496286</v>
      </c>
      <c r="M63" s="25">
        <f>'Inputs by customer type'!M16</f>
        <v>0</v>
      </c>
      <c r="N63" s="25">
        <f>'Inputs by customer type'!N16</f>
        <v>0.81366694390966288</v>
      </c>
      <c r="O63" s="25">
        <f>'Inputs by customer type'!O16</f>
        <v>0.83511147782404294</v>
      </c>
      <c r="P63" s="25">
        <f>'Inputs by customer type'!P16</f>
        <v>0.82625228601074763</v>
      </c>
      <c r="Q63" s="25">
        <f>'Inputs by customer type'!Q16</f>
        <v>0.80631396242152709</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35">
      <c r="F64" s="28"/>
      <c r="G64" s="28"/>
      <c r="J64" s="25"/>
      <c r="K64" s="25"/>
      <c r="L64" s="25"/>
      <c r="M64" s="25"/>
      <c r="N64" s="25"/>
      <c r="O64" s="25"/>
      <c r="P64" s="25"/>
      <c r="Q64" s="25"/>
      <c r="R64" s="25"/>
      <c r="S64" s="25"/>
      <c r="T64" s="25"/>
      <c r="U64" s="25"/>
      <c r="V64" s="25"/>
      <c r="W64" s="25"/>
      <c r="X64" s="25"/>
      <c r="Y64" s="25"/>
    </row>
    <row r="65" spans="3:27" x14ac:dyDescent="0.3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35">
      <c r="D67" s="32" t="s">
        <v>851</v>
      </c>
      <c r="E67" s="28"/>
      <c r="F67" s="28"/>
      <c r="G67" s="28"/>
    </row>
    <row r="68" spans="3:27" x14ac:dyDescent="0.35">
      <c r="D68" s="32"/>
      <c r="E68" s="28"/>
      <c r="F68" s="28"/>
      <c r="G68" s="28"/>
    </row>
    <row r="69" spans="3:27" x14ac:dyDescent="0.35">
      <c r="D69" s="32"/>
      <c r="E69" s="28" t="s">
        <v>852</v>
      </c>
      <c r="F69" s="28"/>
      <c r="G69" s="28" t="s">
        <v>172</v>
      </c>
      <c r="J69" s="89">
        <f t="shared" ref="J69:P69" si="6">J34 / hours_in_year</f>
        <v>295.25359436844553</v>
      </c>
      <c r="K69" s="89">
        <f t="shared" si="6"/>
        <v>41.897604211398438</v>
      </c>
      <c r="L69" s="89">
        <f t="shared" si="6"/>
        <v>115.02067123046324</v>
      </c>
      <c r="M69" s="89">
        <f t="shared" si="6"/>
        <v>2.7005532138598021</v>
      </c>
      <c r="N69" s="89">
        <f t="shared" si="6"/>
        <v>161.96219029484755</v>
      </c>
      <c r="O69" s="89">
        <f t="shared" si="6"/>
        <v>13.320988223365388</v>
      </c>
      <c r="P69" s="89">
        <f t="shared" si="6"/>
        <v>88.968132138328627</v>
      </c>
      <c r="Q69" s="316"/>
      <c r="R69" s="316"/>
      <c r="S69" s="316"/>
      <c r="T69" s="316"/>
      <c r="U69" s="316"/>
      <c r="V69" s="316"/>
      <c r="W69" s="316"/>
      <c r="X69" s="316"/>
      <c r="Y69" s="316"/>
    </row>
    <row r="70" spans="3:27" x14ac:dyDescent="0.35">
      <c r="D70" s="32"/>
      <c r="E70" s="28"/>
      <c r="F70" s="28"/>
      <c r="G70" s="28"/>
    </row>
    <row r="71" spans="3:27" x14ac:dyDescent="0.35">
      <c r="D71" s="32"/>
      <c r="E71" s="28" t="s">
        <v>471</v>
      </c>
      <c r="F71" s="28"/>
      <c r="G71" s="28" t="s">
        <v>172</v>
      </c>
      <c r="J71" s="89">
        <f t="shared" ref="J71:P71" si="7">IF(J62 = 0, 0, J34 / (J62 * hours_in_year))</f>
        <v>681.04547108150587</v>
      </c>
      <c r="K71" s="89">
        <f t="shared" si="7"/>
        <v>253.03646424176199</v>
      </c>
      <c r="L71" s="89">
        <f t="shared" si="7"/>
        <v>272.37396367434974</v>
      </c>
      <c r="M71" s="89">
        <f t="shared" si="7"/>
        <v>12.336036782505307</v>
      </c>
      <c r="N71" s="89">
        <f t="shared" si="7"/>
        <v>280.47476048123718</v>
      </c>
      <c r="O71" s="89">
        <f t="shared" si="7"/>
        <v>18.585817515469756</v>
      </c>
      <c r="P71" s="89">
        <f t="shared" si="7"/>
        <v>129.38833425301416</v>
      </c>
      <c r="Q71" s="316"/>
      <c r="R71" s="316"/>
      <c r="S71" s="316"/>
      <c r="T71" s="316"/>
      <c r="U71" s="316"/>
      <c r="V71" s="316"/>
      <c r="W71" s="316"/>
      <c r="X71" s="316"/>
      <c r="Y71" s="316"/>
    </row>
    <row r="72" spans="3:27" x14ac:dyDescent="0.35">
      <c r="D72" s="32"/>
      <c r="E72" s="28"/>
      <c r="F72" s="28"/>
      <c r="G72" s="28"/>
    </row>
    <row r="73" spans="3:27" x14ac:dyDescent="0.35">
      <c r="D73" s="32"/>
      <c r="E73" s="28" t="s">
        <v>853</v>
      </c>
      <c r="F73" s="28"/>
      <c r="G73" s="28" t="s">
        <v>172</v>
      </c>
      <c r="J73" s="89">
        <f>J71 * J63</f>
        <v>551.56545265615853</v>
      </c>
      <c r="K73" s="89">
        <f t="shared" ref="K73:M73" si="8">K71 * K63</f>
        <v>0</v>
      </c>
      <c r="L73" s="89">
        <f t="shared" si="8"/>
        <v>197.90720689522865</v>
      </c>
      <c r="M73" s="89">
        <f t="shared" si="8"/>
        <v>0</v>
      </c>
      <c r="N73" s="89">
        <f t="shared" ref="N73:P73" si="9">N71 * N63</f>
        <v>228.21304120456296</v>
      </c>
      <c r="O73" s="89">
        <f t="shared" si="9"/>
        <v>15.52122953191193</v>
      </c>
      <c r="P73" s="89">
        <f t="shared" si="9"/>
        <v>106.90740695967567</v>
      </c>
      <c r="Q73" s="316"/>
      <c r="R73" s="316"/>
      <c r="S73" s="316"/>
      <c r="T73" s="316"/>
      <c r="U73" s="316"/>
      <c r="V73" s="316"/>
      <c r="W73" s="316"/>
      <c r="X73" s="316"/>
      <c r="Y73" s="316"/>
    </row>
    <row r="74" spans="3:27" x14ac:dyDescent="0.35">
      <c r="D74" s="32"/>
      <c r="E74" s="28"/>
      <c r="F74" s="28"/>
      <c r="G74" s="28"/>
    </row>
    <row r="75" spans="3:27" x14ac:dyDescent="0.35">
      <c r="D75" s="32" t="s">
        <v>854</v>
      </c>
      <c r="E75" s="28"/>
      <c r="F75" s="28"/>
      <c r="G75" s="28"/>
    </row>
    <row r="76" spans="3:27" x14ac:dyDescent="0.35">
      <c r="D76" s="32"/>
      <c r="E76" s="28"/>
      <c r="F76" s="28"/>
      <c r="G76" s="28"/>
    </row>
    <row r="77" spans="3:27" x14ac:dyDescent="0.35">
      <c r="D77" s="32"/>
      <c r="E77" s="28" t="s">
        <v>241</v>
      </c>
      <c r="F77" s="28"/>
      <c r="G77" s="28" t="s">
        <v>167</v>
      </c>
      <c r="J77" s="145">
        <f t="shared" ref="J77:P77" si="10">SUMIF($J$38:$Y$38, J$38, $J$69:$Y$69) / SUMIF($J$38:$Y$38, J$38, $J$71:$Y$71)</f>
        <v>0.36094392347194082</v>
      </c>
      <c r="K77" s="145">
        <f t="shared" si="10"/>
        <v>0.36094392347194082</v>
      </c>
      <c r="L77" s="145">
        <f t="shared" si="10"/>
        <v>0.41347765886489302</v>
      </c>
      <c r="M77" s="145">
        <f t="shared" si="10"/>
        <v>0.41347765886489302</v>
      </c>
      <c r="N77" s="145">
        <f t="shared" si="10"/>
        <v>0.57745727286460158</v>
      </c>
      <c r="O77" s="145">
        <f t="shared" si="10"/>
        <v>0.71672866755943188</v>
      </c>
      <c r="P77" s="145">
        <f t="shared" si="10"/>
        <v>0.68760551445352636</v>
      </c>
      <c r="Q77" s="316"/>
      <c r="R77" s="316"/>
      <c r="S77" s="316"/>
      <c r="T77" s="316"/>
      <c r="U77" s="316"/>
      <c r="V77" s="316"/>
      <c r="W77" s="316"/>
      <c r="X77" s="316"/>
      <c r="Y77" s="316"/>
    </row>
    <row r="78" spans="3:27" x14ac:dyDescent="0.35">
      <c r="D78" s="32"/>
      <c r="E78" s="28"/>
      <c r="F78" s="28"/>
      <c r="G78" s="28"/>
    </row>
    <row r="79" spans="3:27" x14ac:dyDescent="0.35">
      <c r="D79" s="32"/>
      <c r="E79" s="28" t="s">
        <v>243</v>
      </c>
      <c r="F79" s="28"/>
      <c r="G79" s="28" t="s">
        <v>167</v>
      </c>
      <c r="J79" s="145">
        <f t="shared" ref="J79:P79" si="11">SUMIF($J$38:$Y$38, J$38, $J$73:$Y$73) / SUMIF($J$38:$Y$38, J$38, $J$71:$Y$71)</f>
        <v>0.59048936907796234</v>
      </c>
      <c r="K79" s="145">
        <f t="shared" si="11"/>
        <v>0.59048936907796234</v>
      </c>
      <c r="L79" s="145">
        <f t="shared" si="11"/>
        <v>0.69511856477700207</v>
      </c>
      <c r="M79" s="145">
        <f t="shared" si="11"/>
        <v>0.69511856477700207</v>
      </c>
      <c r="N79" s="145">
        <f t="shared" si="11"/>
        <v>0.81366694390966288</v>
      </c>
      <c r="O79" s="145">
        <f t="shared" si="11"/>
        <v>0.83511147782404294</v>
      </c>
      <c r="P79" s="145">
        <f t="shared" si="11"/>
        <v>0.82625228601074763</v>
      </c>
      <c r="Q79" s="316"/>
      <c r="R79" s="316"/>
      <c r="S79" s="316"/>
      <c r="T79" s="316"/>
      <c r="U79" s="316"/>
      <c r="V79" s="316"/>
      <c r="W79" s="316"/>
      <c r="X79" s="316"/>
      <c r="Y79" s="316"/>
    </row>
    <row r="80" spans="3:27" x14ac:dyDescent="0.35">
      <c r="D80" s="32"/>
      <c r="E80" s="28"/>
      <c r="F80" s="28"/>
      <c r="G80" s="28"/>
    </row>
    <row r="81" spans="2:27" x14ac:dyDescent="0.35">
      <c r="D81" s="32" t="s">
        <v>855</v>
      </c>
      <c r="E81" s="28"/>
      <c r="F81" s="28"/>
      <c r="G81" s="28"/>
    </row>
    <row r="82" spans="2:27" x14ac:dyDescent="0.35">
      <c r="D82" s="28"/>
      <c r="E82" s="28"/>
      <c r="F82" s="28"/>
      <c r="G82" s="28"/>
    </row>
    <row r="83" spans="2:27" x14ac:dyDescent="0.35">
      <c r="D83" s="28"/>
      <c r="E83" s="28" t="s">
        <v>241</v>
      </c>
      <c r="F83" s="28"/>
      <c r="G83" s="28" t="s">
        <v>167</v>
      </c>
      <c r="J83" s="145">
        <f>IF(J$38 = 0, J62, J77)</f>
        <v>0.36094392347194082</v>
      </c>
      <c r="K83" s="145">
        <f t="shared" ref="K83:Y83" si="12">IF(K$38 = 0, K62, K77)</f>
        <v>0.36094392347194082</v>
      </c>
      <c r="L83" s="145">
        <f t="shared" si="12"/>
        <v>0.41347765886489302</v>
      </c>
      <c r="M83" s="145">
        <f>IF(M$38 = 0, M62, M77)</f>
        <v>0.41347765886489302</v>
      </c>
      <c r="N83" s="145">
        <f t="shared" si="12"/>
        <v>0.57745727286460158</v>
      </c>
      <c r="O83" s="145">
        <f t="shared" si="12"/>
        <v>0.71672866755943188</v>
      </c>
      <c r="P83" s="145">
        <f t="shared" si="12"/>
        <v>0.68760551445352636</v>
      </c>
      <c r="Q83" s="145">
        <f t="shared" si="12"/>
        <v>0.48053399908135042</v>
      </c>
      <c r="R83" s="145">
        <f t="shared" si="12"/>
        <v>0</v>
      </c>
      <c r="S83" s="145">
        <f t="shared" si="12"/>
        <v>0</v>
      </c>
      <c r="T83" s="145">
        <f t="shared" si="12"/>
        <v>0</v>
      </c>
      <c r="U83" s="145">
        <f t="shared" si="12"/>
        <v>0</v>
      </c>
      <c r="V83" s="145">
        <f t="shared" si="12"/>
        <v>0</v>
      </c>
      <c r="W83" s="145">
        <f t="shared" si="12"/>
        <v>0</v>
      </c>
      <c r="X83" s="145">
        <f t="shared" si="12"/>
        <v>0</v>
      </c>
      <c r="Y83" s="145">
        <f t="shared" si="12"/>
        <v>0</v>
      </c>
    </row>
    <row r="84" spans="2:27" x14ac:dyDescent="0.35">
      <c r="D84" s="28"/>
      <c r="E84" s="28"/>
      <c r="F84" s="28"/>
      <c r="G84" s="28"/>
    </row>
    <row r="85" spans="2:27" x14ac:dyDescent="0.35">
      <c r="D85" s="28"/>
      <c r="E85" s="28" t="s">
        <v>243</v>
      </c>
      <c r="F85" s="28"/>
      <c r="G85" s="28" t="s">
        <v>167</v>
      </c>
      <c r="J85" s="145">
        <f>IF(J38 = 0, J63, J79)</f>
        <v>0.59048936907796234</v>
      </c>
      <c r="K85" s="145">
        <f t="shared" ref="K85:Y85" si="13">IF(K38 = 0, K63, K79)</f>
        <v>0.59048936907796234</v>
      </c>
      <c r="L85" s="145">
        <f t="shared" si="13"/>
        <v>0.69511856477700207</v>
      </c>
      <c r="M85" s="145">
        <f t="shared" si="13"/>
        <v>0.69511856477700207</v>
      </c>
      <c r="N85" s="145">
        <f t="shared" si="13"/>
        <v>0.81366694390966288</v>
      </c>
      <c r="O85" s="145">
        <f t="shared" si="13"/>
        <v>0.83511147782404294</v>
      </c>
      <c r="P85" s="145">
        <f t="shared" si="13"/>
        <v>0.82625228601074763</v>
      </c>
      <c r="Q85" s="145">
        <f t="shared" si="13"/>
        <v>0.80631396242152709</v>
      </c>
      <c r="R85" s="145">
        <f t="shared" si="13"/>
        <v>0</v>
      </c>
      <c r="S85" s="145">
        <f t="shared" si="13"/>
        <v>0</v>
      </c>
      <c r="T85" s="145">
        <f t="shared" si="13"/>
        <v>0</v>
      </c>
      <c r="U85" s="145">
        <f t="shared" si="13"/>
        <v>0</v>
      </c>
      <c r="V85" s="145">
        <f t="shared" si="13"/>
        <v>0</v>
      </c>
      <c r="W85" s="145">
        <f t="shared" si="13"/>
        <v>0</v>
      </c>
      <c r="X85" s="145">
        <f t="shared" si="13"/>
        <v>0</v>
      </c>
      <c r="Y85" s="145">
        <f t="shared" si="13"/>
        <v>0</v>
      </c>
    </row>
    <row r="87" spans="2:27" x14ac:dyDescent="0.3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35">
      <c r="E89" s="28" t="s">
        <v>472</v>
      </c>
      <c r="G89" s="28" t="s">
        <v>283</v>
      </c>
      <c r="J89" s="89">
        <f t="shared" ref="J89:Y89" si="14">IF(AND(J62 = 0, J63 = 0), 1, J63 / J62)</f>
        <v>1.8681074953074499</v>
      </c>
      <c r="K89" s="89">
        <f t="shared" si="14"/>
        <v>0</v>
      </c>
      <c r="L89" s="89">
        <f t="shared" si="14"/>
        <v>1.7206229521882059</v>
      </c>
      <c r="M89" s="89">
        <f t="shared" si="14"/>
        <v>0</v>
      </c>
      <c r="N89" s="89">
        <f t="shared" si="14"/>
        <v>1.4090513396312287</v>
      </c>
      <c r="O89" s="89">
        <f t="shared" si="14"/>
        <v>1.1651710272280893</v>
      </c>
      <c r="P89" s="89">
        <f t="shared" si="14"/>
        <v>1.2016370849896552</v>
      </c>
      <c r="Q89" s="89">
        <f t="shared" si="14"/>
        <v>1.6779540343929438</v>
      </c>
      <c r="R89" s="89">
        <f t="shared" si="14"/>
        <v>1</v>
      </c>
      <c r="S89" s="89">
        <f t="shared" si="14"/>
        <v>1</v>
      </c>
      <c r="T89" s="89">
        <f t="shared" si="14"/>
        <v>1</v>
      </c>
      <c r="U89" s="89">
        <f t="shared" si="14"/>
        <v>1</v>
      </c>
      <c r="V89" s="89">
        <f t="shared" si="14"/>
        <v>1</v>
      </c>
      <c r="W89" s="89">
        <f t="shared" si="14"/>
        <v>1</v>
      </c>
      <c r="X89" s="89">
        <f t="shared" si="14"/>
        <v>1</v>
      </c>
      <c r="Y89" s="89">
        <f t="shared" si="14"/>
        <v>1</v>
      </c>
    </row>
    <row r="90" spans="2:27" x14ac:dyDescent="0.35">
      <c r="D90" s="32"/>
      <c r="J90" s="120"/>
      <c r="K90" s="120"/>
      <c r="L90" s="120"/>
      <c r="M90" s="120"/>
      <c r="N90" s="120"/>
      <c r="O90" s="120"/>
      <c r="P90" s="120"/>
      <c r="Q90" s="120"/>
      <c r="R90" s="120"/>
      <c r="S90" s="120"/>
      <c r="T90" s="120"/>
      <c r="U90" s="120"/>
      <c r="V90" s="120"/>
      <c r="W90" s="120"/>
      <c r="X90" s="120"/>
      <c r="Y90" s="120"/>
    </row>
    <row r="91" spans="2:27" x14ac:dyDescent="0.35">
      <c r="E91" s="28" t="s">
        <v>856</v>
      </c>
      <c r="G91" s="28" t="s">
        <v>283</v>
      </c>
      <c r="I91" s="320" t="s">
        <v>154</v>
      </c>
      <c r="J91" s="89">
        <f>IF(AND(J83 = 0, J85 = 0), 1, J85 / J83)</f>
        <v>1.6359587478243445</v>
      </c>
      <c r="K91" s="89">
        <f t="shared" ref="K91:Y91" si="15">IF(AND(K83 = 0, K85 = 0), 1, K85 / K83)</f>
        <v>1.6359587478243445</v>
      </c>
      <c r="L91" s="89">
        <f t="shared" si="15"/>
        <v>1.6811514476629494</v>
      </c>
      <c r="M91" s="89">
        <f t="shared" si="15"/>
        <v>1.6811514476629494</v>
      </c>
      <c r="N91" s="89">
        <f>IF(AND(N83 = 0, N85 = 0), 1, N85 / N83)</f>
        <v>1.4090513396312287</v>
      </c>
      <c r="O91" s="89">
        <f t="shared" si="15"/>
        <v>1.1651710272280893</v>
      </c>
      <c r="P91" s="89">
        <f t="shared" si="15"/>
        <v>1.2016370849896552</v>
      </c>
      <c r="Q91" s="89">
        <f t="shared" si="15"/>
        <v>1.6779540343929438</v>
      </c>
      <c r="R91" s="89">
        <f t="shared" si="15"/>
        <v>1</v>
      </c>
      <c r="S91" s="89">
        <f t="shared" si="15"/>
        <v>1</v>
      </c>
      <c r="T91" s="89">
        <f t="shared" si="15"/>
        <v>1</v>
      </c>
      <c r="U91" s="89">
        <f t="shared" si="15"/>
        <v>1</v>
      </c>
      <c r="V91" s="89">
        <f t="shared" si="15"/>
        <v>1</v>
      </c>
      <c r="W91" s="89">
        <f t="shared" si="15"/>
        <v>1</v>
      </c>
      <c r="X91" s="89">
        <f t="shared" si="15"/>
        <v>1</v>
      </c>
      <c r="Y91" s="89">
        <f t="shared" si="15"/>
        <v>1</v>
      </c>
      <c r="Z91" s="89"/>
      <c r="AA91" s="320" t="s">
        <v>860</v>
      </c>
    </row>
    <row r="92" spans="2:27" x14ac:dyDescent="0.35">
      <c r="D92" s="32"/>
      <c r="J92" s="120"/>
      <c r="K92" s="120"/>
      <c r="L92" s="120"/>
      <c r="M92" s="120"/>
      <c r="N92" s="120"/>
      <c r="O92" s="120"/>
      <c r="P92" s="120"/>
      <c r="Q92" s="120"/>
      <c r="R92" s="120"/>
      <c r="S92" s="120"/>
      <c r="T92" s="120"/>
      <c r="U92" s="120"/>
      <c r="V92" s="120"/>
      <c r="W92" s="120"/>
      <c r="X92" s="120"/>
      <c r="Y92" s="120"/>
    </row>
    <row r="93" spans="2:27" x14ac:dyDescent="0.35">
      <c r="E93" s="28" t="s">
        <v>473</v>
      </c>
      <c r="G93" s="28" t="s">
        <v>283</v>
      </c>
      <c r="I93" t="s">
        <v>154</v>
      </c>
      <c r="J93" s="89">
        <f>IF(OR(J54 = 0, J85 = 0), 1, J91 / J54)</f>
        <v>1.2935580150416797</v>
      </c>
      <c r="K93" s="89">
        <f t="shared" ref="K93:Y93" si="16">IF(OR(K54 = 0, K85 = 0), 1, K91 / K54)</f>
        <v>1.2935580150416797</v>
      </c>
      <c r="L93" s="89">
        <f t="shared" si="16"/>
        <v>1.484402989260887</v>
      </c>
      <c r="M93" s="89">
        <f t="shared" si="16"/>
        <v>1.484402989260887</v>
      </c>
      <c r="N93" s="89">
        <f>IF(OR(N54 = 0, N85 = 0), 1, N91 / N54)</f>
        <v>1.2607307937408698</v>
      </c>
      <c r="O93" s="89">
        <f t="shared" si="16"/>
        <v>1.0755700053852528</v>
      </c>
      <c r="P93" s="89">
        <f t="shared" si="16"/>
        <v>1.1298878300513102</v>
      </c>
      <c r="Q93" s="89">
        <f t="shared" si="16"/>
        <v>0.78984681034702819</v>
      </c>
      <c r="R93" s="89">
        <f t="shared" si="16"/>
        <v>1</v>
      </c>
      <c r="S93" s="89">
        <f t="shared" si="16"/>
        <v>1</v>
      </c>
      <c r="T93" s="89">
        <f t="shared" si="16"/>
        <v>1</v>
      </c>
      <c r="U93" s="89">
        <f t="shared" si="16"/>
        <v>1</v>
      </c>
      <c r="V93" s="89">
        <f t="shared" si="16"/>
        <v>1</v>
      </c>
      <c r="W93" s="89">
        <f t="shared" si="16"/>
        <v>1</v>
      </c>
      <c r="X93" s="89">
        <f t="shared" si="16"/>
        <v>1</v>
      </c>
      <c r="Y93" s="89">
        <f t="shared" si="16"/>
        <v>1</v>
      </c>
      <c r="AA93" t="s">
        <v>474</v>
      </c>
    </row>
    <row r="94" spans="2:27" x14ac:dyDescent="0.35">
      <c r="F94" s="28"/>
      <c r="G94" s="28"/>
    </row>
    <row r="95" spans="2:27" x14ac:dyDescent="0.35">
      <c r="B95" s="30" t="s">
        <v>475</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35">
      <c r="C97" s="29" t="s">
        <v>477</v>
      </c>
      <c r="I97" t="s">
        <v>154</v>
      </c>
      <c r="AA97" t="s">
        <v>476</v>
      </c>
    </row>
    <row r="98" spans="3:27" x14ac:dyDescent="0.35">
      <c r="C98" s="29" t="s">
        <v>478</v>
      </c>
    </row>
    <row r="100" spans="3:27" x14ac:dyDescent="0.3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35">
      <c r="E102" s="32" t="s">
        <v>479</v>
      </c>
      <c r="G102" s="28"/>
    </row>
    <row r="103" spans="3:27" x14ac:dyDescent="0.35">
      <c r="F103" s="78" t="s">
        <v>294</v>
      </c>
      <c r="G103" s="64" t="s">
        <v>167</v>
      </c>
      <c r="H103" s="107">
        <f>'Inputs by network level'!K40</f>
        <v>0.46629999999999999</v>
      </c>
    </row>
    <row r="104" spans="3:27" x14ac:dyDescent="0.35">
      <c r="F104" s="72" t="s">
        <v>295</v>
      </c>
      <c r="G104" s="28" t="s">
        <v>167</v>
      </c>
      <c r="H104" s="25">
        <f>'Inputs by network level'!K41</f>
        <v>0.35620000000000002</v>
      </c>
    </row>
    <row r="105" spans="3:27" x14ac:dyDescent="0.35">
      <c r="F105" s="80" t="s">
        <v>257</v>
      </c>
      <c r="G105" s="67" t="s">
        <v>167</v>
      </c>
      <c r="H105" s="141">
        <f>'Inputs by network level'!K42</f>
        <v>0.1777</v>
      </c>
    </row>
    <row r="106" spans="3:27" x14ac:dyDescent="0.35">
      <c r="F106" s="78" t="s">
        <v>296</v>
      </c>
      <c r="G106" s="64" t="s">
        <v>167</v>
      </c>
      <c r="H106" s="107">
        <f>'Inputs by network level'!K43</f>
        <v>0.36606666666666671</v>
      </c>
    </row>
    <row r="107" spans="3:27" x14ac:dyDescent="0.35">
      <c r="F107" s="72" t="s">
        <v>305</v>
      </c>
      <c r="G107" s="28" t="s">
        <v>167</v>
      </c>
      <c r="H107" s="156">
        <f>SUM(H103:H104) - H106</f>
        <v>0.4564333333333333</v>
      </c>
    </row>
    <row r="108" spans="3:27" x14ac:dyDescent="0.35">
      <c r="F108" s="80" t="s">
        <v>257</v>
      </c>
      <c r="G108" s="67" t="s">
        <v>167</v>
      </c>
      <c r="H108" s="157">
        <f>H105</f>
        <v>0.1777</v>
      </c>
    </row>
    <row r="109" spans="3:27" x14ac:dyDescent="0.35">
      <c r="F109" s="29"/>
      <c r="G109" s="28"/>
    </row>
    <row r="110" spans="3:27" x14ac:dyDescent="0.35">
      <c r="E110" s="32" t="s">
        <v>480</v>
      </c>
      <c r="G110" s="28"/>
    </row>
    <row r="111" spans="3:27" x14ac:dyDescent="0.35">
      <c r="F111" s="78" t="s">
        <v>465</v>
      </c>
      <c r="G111" s="64" t="s">
        <v>167</v>
      </c>
      <c r="H111" s="107">
        <f>'Inputs by network level'!L40</f>
        <v>0</v>
      </c>
    </row>
    <row r="112" spans="3:27" x14ac:dyDescent="0.35">
      <c r="F112" s="72" t="s">
        <v>466</v>
      </c>
      <c r="G112" s="28" t="s">
        <v>167</v>
      </c>
      <c r="H112" s="25">
        <f>'Inputs by network level'!L41</f>
        <v>0</v>
      </c>
    </row>
    <row r="113" spans="5:8" x14ac:dyDescent="0.35">
      <c r="F113" s="80" t="s">
        <v>257</v>
      </c>
      <c r="G113" s="67" t="s">
        <v>167</v>
      </c>
      <c r="H113" s="141">
        <f>'Inputs by network level'!L42</f>
        <v>0</v>
      </c>
    </row>
    <row r="114" spans="5:8" x14ac:dyDescent="0.35">
      <c r="F114" s="78" t="s">
        <v>296</v>
      </c>
      <c r="G114" s="64" t="s">
        <v>167</v>
      </c>
      <c r="H114" s="107">
        <f>'Inputs by network level'!L43</f>
        <v>0</v>
      </c>
    </row>
    <row r="115" spans="5:8" x14ac:dyDescent="0.35">
      <c r="F115" s="72" t="s">
        <v>305</v>
      </c>
      <c r="G115" s="28" t="s">
        <v>167</v>
      </c>
      <c r="H115" s="156">
        <f>SUM(H111:H112) - H114</f>
        <v>0</v>
      </c>
    </row>
    <row r="116" spans="5:8" x14ac:dyDescent="0.35">
      <c r="F116" s="80" t="s">
        <v>257</v>
      </c>
      <c r="G116" s="67" t="s">
        <v>167</v>
      </c>
      <c r="H116" s="157">
        <f>H113</f>
        <v>0</v>
      </c>
    </row>
    <row r="117" spans="5:8" x14ac:dyDescent="0.35">
      <c r="F117" s="29"/>
      <c r="G117" s="28"/>
    </row>
    <row r="118" spans="5:8" x14ac:dyDescent="0.35">
      <c r="E118" s="32" t="s">
        <v>481</v>
      </c>
      <c r="G118" s="28"/>
    </row>
    <row r="119" spans="5:8" x14ac:dyDescent="0.35">
      <c r="F119" s="78" t="s">
        <v>465</v>
      </c>
      <c r="G119" s="64" t="s">
        <v>167</v>
      </c>
      <c r="H119" s="107">
        <f>'Inputs by network level'!M40</f>
        <v>0</v>
      </c>
    </row>
    <row r="120" spans="5:8" x14ac:dyDescent="0.35">
      <c r="F120" s="72" t="s">
        <v>466</v>
      </c>
      <c r="G120" s="28" t="s">
        <v>167</v>
      </c>
      <c r="H120" s="25">
        <f>'Inputs by network level'!M41</f>
        <v>0</v>
      </c>
    </row>
    <row r="121" spans="5:8" x14ac:dyDescent="0.35">
      <c r="F121" s="80" t="s">
        <v>257</v>
      </c>
      <c r="G121" s="67" t="s">
        <v>167</v>
      </c>
      <c r="H121" s="141">
        <f>'Inputs by network level'!M42</f>
        <v>0</v>
      </c>
    </row>
    <row r="122" spans="5:8" x14ac:dyDescent="0.35">
      <c r="F122" s="78" t="s">
        <v>296</v>
      </c>
      <c r="G122" s="64" t="s">
        <v>167</v>
      </c>
      <c r="H122" s="107">
        <f>'Inputs by network level'!M43</f>
        <v>0</v>
      </c>
    </row>
    <row r="123" spans="5:8" x14ac:dyDescent="0.35">
      <c r="F123" s="72" t="s">
        <v>305</v>
      </c>
      <c r="G123" s="28" t="s">
        <v>167</v>
      </c>
      <c r="H123" s="156">
        <f>SUM(H119:H120) - H122</f>
        <v>0</v>
      </c>
    </row>
    <row r="124" spans="5:8" x14ac:dyDescent="0.35">
      <c r="F124" s="80" t="s">
        <v>257</v>
      </c>
      <c r="G124" s="67" t="s">
        <v>167</v>
      </c>
      <c r="H124" s="157">
        <f>H121</f>
        <v>0</v>
      </c>
    </row>
    <row r="125" spans="5:8" x14ac:dyDescent="0.35">
      <c r="F125" s="29"/>
      <c r="G125" s="28"/>
    </row>
    <row r="126" spans="5:8" x14ac:dyDescent="0.35">
      <c r="E126" s="32" t="s">
        <v>482</v>
      </c>
      <c r="G126" s="28"/>
    </row>
    <row r="127" spans="5:8" x14ac:dyDescent="0.35">
      <c r="F127" s="78" t="s">
        <v>465</v>
      </c>
      <c r="G127" s="64" t="s">
        <v>167</v>
      </c>
      <c r="H127" s="107">
        <f>'Inputs by network level'!N40</f>
        <v>0.44</v>
      </c>
    </row>
    <row r="128" spans="5:8" x14ac:dyDescent="0.35">
      <c r="F128" s="72" t="s">
        <v>466</v>
      </c>
      <c r="G128" s="28" t="s">
        <v>167</v>
      </c>
      <c r="H128" s="25">
        <f>'Inputs by network level'!N41</f>
        <v>0.41</v>
      </c>
    </row>
    <row r="129" spans="5:8" x14ac:dyDescent="0.35">
      <c r="F129" s="80" t="s">
        <v>257</v>
      </c>
      <c r="G129" s="67" t="s">
        <v>167</v>
      </c>
      <c r="H129" s="141">
        <f>'Inputs by network level'!N42</f>
        <v>0.15</v>
      </c>
    </row>
    <row r="130" spans="5:8" x14ac:dyDescent="0.35">
      <c r="F130" s="78" t="s">
        <v>296</v>
      </c>
      <c r="G130" s="64" t="s">
        <v>167</v>
      </c>
      <c r="H130" s="107">
        <f>'Inputs by network level'!N43</f>
        <v>0.32979999999999998</v>
      </c>
    </row>
    <row r="131" spans="5:8" x14ac:dyDescent="0.35">
      <c r="F131" s="72" t="s">
        <v>305</v>
      </c>
      <c r="G131" s="28" t="s">
        <v>167</v>
      </c>
      <c r="H131" s="156">
        <f>SUM(H127:H128) - H130</f>
        <v>0.5202</v>
      </c>
    </row>
    <row r="132" spans="5:8" x14ac:dyDescent="0.35">
      <c r="F132" s="80" t="s">
        <v>257</v>
      </c>
      <c r="G132" s="67" t="s">
        <v>167</v>
      </c>
      <c r="H132" s="157">
        <f>H129</f>
        <v>0.15</v>
      </c>
    </row>
    <row r="133" spans="5:8" x14ac:dyDescent="0.35">
      <c r="F133" s="29"/>
      <c r="G133" s="28"/>
    </row>
    <row r="134" spans="5:8" x14ac:dyDescent="0.35">
      <c r="E134" s="32" t="s">
        <v>483</v>
      </c>
      <c r="G134" s="28"/>
    </row>
    <row r="135" spans="5:8" x14ac:dyDescent="0.35">
      <c r="F135" s="78" t="s">
        <v>465</v>
      </c>
      <c r="G135" s="64" t="s">
        <v>167</v>
      </c>
      <c r="H135" s="107">
        <f>'Inputs by network level'!O40</f>
        <v>0.44</v>
      </c>
    </row>
    <row r="136" spans="5:8" x14ac:dyDescent="0.35">
      <c r="F136" s="72" t="s">
        <v>466</v>
      </c>
      <c r="G136" s="28" t="s">
        <v>167</v>
      </c>
      <c r="H136" s="25">
        <f>'Inputs by network level'!O41</f>
        <v>0.41</v>
      </c>
    </row>
    <row r="137" spans="5:8" x14ac:dyDescent="0.35">
      <c r="F137" s="80" t="s">
        <v>257</v>
      </c>
      <c r="G137" s="67" t="s">
        <v>167</v>
      </c>
      <c r="H137" s="141">
        <f>'Inputs by network level'!O42</f>
        <v>0.15</v>
      </c>
    </row>
    <row r="138" spans="5:8" x14ac:dyDescent="0.35">
      <c r="F138" s="78" t="s">
        <v>296</v>
      </c>
      <c r="G138" s="64" t="s">
        <v>167</v>
      </c>
      <c r="H138" s="107">
        <f>'Inputs by network level'!O43</f>
        <v>0.32979999999999998</v>
      </c>
    </row>
    <row r="139" spans="5:8" x14ac:dyDescent="0.35">
      <c r="F139" s="72" t="s">
        <v>305</v>
      </c>
      <c r="G139" s="28" t="s">
        <v>167</v>
      </c>
      <c r="H139" s="156">
        <f>SUM(H135:H136) - H138</f>
        <v>0.5202</v>
      </c>
    </row>
    <row r="140" spans="5:8" x14ac:dyDescent="0.35">
      <c r="F140" s="80" t="s">
        <v>257</v>
      </c>
      <c r="G140" s="67" t="s">
        <v>167</v>
      </c>
      <c r="H140" s="157">
        <f>H137</f>
        <v>0.15</v>
      </c>
    </row>
    <row r="141" spans="5:8" x14ac:dyDescent="0.35">
      <c r="F141" s="29"/>
      <c r="G141" s="28"/>
    </row>
    <row r="142" spans="5:8" x14ac:dyDescent="0.35">
      <c r="E142" s="32" t="s">
        <v>484</v>
      </c>
      <c r="G142" s="28"/>
    </row>
    <row r="143" spans="5:8" x14ac:dyDescent="0.35">
      <c r="F143" s="78" t="s">
        <v>465</v>
      </c>
      <c r="G143" s="64" t="s">
        <v>167</v>
      </c>
      <c r="H143" s="107">
        <f>'Inputs by network level'!P40</f>
        <v>0</v>
      </c>
    </row>
    <row r="144" spans="5:8" x14ac:dyDescent="0.35">
      <c r="F144" s="72" t="s">
        <v>466</v>
      </c>
      <c r="G144" s="28" t="s">
        <v>167</v>
      </c>
      <c r="H144" s="25">
        <f>'Inputs by network level'!P41</f>
        <v>0</v>
      </c>
    </row>
    <row r="145" spans="5:8" x14ac:dyDescent="0.35">
      <c r="F145" s="80" t="s">
        <v>257</v>
      </c>
      <c r="G145" s="67" t="s">
        <v>167</v>
      </c>
      <c r="H145" s="141">
        <f>'Inputs by network level'!P42</f>
        <v>0</v>
      </c>
    </row>
    <row r="146" spans="5:8" x14ac:dyDescent="0.35">
      <c r="F146" s="78" t="s">
        <v>296</v>
      </c>
      <c r="G146" s="64" t="s">
        <v>167</v>
      </c>
      <c r="H146" s="107">
        <f>'Inputs by network level'!P43</f>
        <v>0</v>
      </c>
    </row>
    <row r="147" spans="5:8" x14ac:dyDescent="0.35">
      <c r="F147" s="72" t="s">
        <v>305</v>
      </c>
      <c r="G147" s="28" t="s">
        <v>167</v>
      </c>
      <c r="H147" s="156">
        <f>SUM(H143:H144) - H146</f>
        <v>0</v>
      </c>
    </row>
    <row r="148" spans="5:8" x14ac:dyDescent="0.35">
      <c r="F148" s="80" t="s">
        <v>257</v>
      </c>
      <c r="G148" s="67" t="s">
        <v>167</v>
      </c>
      <c r="H148" s="157">
        <f>H145</f>
        <v>0</v>
      </c>
    </row>
    <row r="149" spans="5:8" x14ac:dyDescent="0.35">
      <c r="F149" s="29"/>
      <c r="G149" s="28"/>
    </row>
    <row r="150" spans="5:8" x14ac:dyDescent="0.35">
      <c r="E150" s="32" t="s">
        <v>485</v>
      </c>
      <c r="G150" s="28"/>
    </row>
    <row r="151" spans="5:8" x14ac:dyDescent="0.35">
      <c r="F151" s="78" t="s">
        <v>465</v>
      </c>
      <c r="G151" s="64" t="s">
        <v>167</v>
      </c>
      <c r="H151" s="107">
        <f>'Inputs by network level'!Q40</f>
        <v>0.39</v>
      </c>
    </row>
    <row r="152" spans="5:8" x14ac:dyDescent="0.35">
      <c r="F152" s="72" t="s">
        <v>466</v>
      </c>
      <c r="G152" s="28" t="s">
        <v>167</v>
      </c>
      <c r="H152" s="25">
        <f>'Inputs by network level'!Q41</f>
        <v>0.44</v>
      </c>
    </row>
    <row r="153" spans="5:8" x14ac:dyDescent="0.35">
      <c r="F153" s="80" t="s">
        <v>257</v>
      </c>
      <c r="G153" s="67" t="s">
        <v>167</v>
      </c>
      <c r="H153" s="141">
        <f>'Inputs by network level'!Q42</f>
        <v>0.17</v>
      </c>
    </row>
    <row r="154" spans="5:8" x14ac:dyDescent="0.35">
      <c r="F154" s="78" t="s">
        <v>296</v>
      </c>
      <c r="G154" s="64" t="s">
        <v>167</v>
      </c>
      <c r="H154" s="107">
        <f>'Inputs by network level'!Q43</f>
        <v>0.2881333333333333</v>
      </c>
    </row>
    <row r="155" spans="5:8" x14ac:dyDescent="0.35">
      <c r="F155" s="72" t="s">
        <v>305</v>
      </c>
      <c r="G155" s="28" t="s">
        <v>167</v>
      </c>
      <c r="H155" s="156">
        <f>SUM(H151:H152) - H154</f>
        <v>0.54186666666666672</v>
      </c>
    </row>
    <row r="156" spans="5:8" x14ac:dyDescent="0.35">
      <c r="F156" s="80" t="s">
        <v>257</v>
      </c>
      <c r="G156" s="67" t="s">
        <v>167</v>
      </c>
      <c r="H156" s="157">
        <f>H153</f>
        <v>0.17</v>
      </c>
    </row>
    <row r="157" spans="5:8" x14ac:dyDescent="0.35">
      <c r="F157" s="29"/>
      <c r="G157" s="28"/>
    </row>
    <row r="158" spans="5:8" x14ac:dyDescent="0.35">
      <c r="E158" s="32" t="s">
        <v>486</v>
      </c>
      <c r="G158" s="28"/>
    </row>
    <row r="159" spans="5:8" x14ac:dyDescent="0.35">
      <c r="F159" s="78" t="s">
        <v>465</v>
      </c>
      <c r="G159" s="64" t="s">
        <v>167</v>
      </c>
      <c r="H159" s="107">
        <f>'Inputs by network level'!R40</f>
        <v>0.39</v>
      </c>
    </row>
    <row r="160" spans="5:8" x14ac:dyDescent="0.35">
      <c r="F160" s="72" t="s">
        <v>466</v>
      </c>
      <c r="G160" s="28" t="s">
        <v>167</v>
      </c>
      <c r="H160" s="25">
        <f>'Inputs by network level'!R41</f>
        <v>0.44</v>
      </c>
    </row>
    <row r="161" spans="3:27" x14ac:dyDescent="0.35">
      <c r="F161" s="80" t="s">
        <v>257</v>
      </c>
      <c r="G161" s="67" t="s">
        <v>167</v>
      </c>
      <c r="H161" s="141">
        <f>'Inputs by network level'!R42</f>
        <v>0.17</v>
      </c>
    </row>
    <row r="162" spans="3:27" x14ac:dyDescent="0.35">
      <c r="F162" s="78" t="s">
        <v>296</v>
      </c>
      <c r="G162" s="64" t="s">
        <v>167</v>
      </c>
      <c r="H162" s="107">
        <f>'Inputs by network level'!R43</f>
        <v>0.2881333333333333</v>
      </c>
    </row>
    <row r="163" spans="3:27" x14ac:dyDescent="0.35">
      <c r="F163" s="72" t="s">
        <v>305</v>
      </c>
      <c r="G163" s="28" t="s">
        <v>167</v>
      </c>
      <c r="H163" s="156">
        <f>SUM(H159:H160) - H162</f>
        <v>0.54186666666666672</v>
      </c>
    </row>
    <row r="164" spans="3:27" x14ac:dyDescent="0.35">
      <c r="F164" s="80" t="s">
        <v>257</v>
      </c>
      <c r="G164" s="67" t="s">
        <v>167</v>
      </c>
      <c r="H164" s="157">
        <f>H161</f>
        <v>0.17</v>
      </c>
    </row>
    <row r="165" spans="3:27" x14ac:dyDescent="0.35">
      <c r="F165" s="29"/>
      <c r="G165" s="28"/>
    </row>
    <row r="166" spans="3:27" x14ac:dyDescent="0.35">
      <c r="E166" s="32" t="s">
        <v>487</v>
      </c>
      <c r="G166" s="28"/>
    </row>
    <row r="167" spans="3:27" x14ac:dyDescent="0.35">
      <c r="F167" s="78" t="s">
        <v>465</v>
      </c>
      <c r="G167" s="64" t="s">
        <v>167</v>
      </c>
      <c r="H167" s="107">
        <f>'Inputs by network level'!S40</f>
        <v>0.39</v>
      </c>
    </row>
    <row r="168" spans="3:27" x14ac:dyDescent="0.35">
      <c r="F168" s="72" t="s">
        <v>466</v>
      </c>
      <c r="G168" s="28" t="s">
        <v>167</v>
      </c>
      <c r="H168" s="25">
        <f>'Inputs by network level'!S41</f>
        <v>0.44</v>
      </c>
    </row>
    <row r="169" spans="3:27" x14ac:dyDescent="0.35">
      <c r="F169" s="80" t="s">
        <v>257</v>
      </c>
      <c r="G169" s="67" t="s">
        <v>167</v>
      </c>
      <c r="H169" s="141">
        <f>'Inputs by network level'!S42</f>
        <v>0.17</v>
      </c>
    </row>
    <row r="170" spans="3:27" x14ac:dyDescent="0.35">
      <c r="F170" s="78" t="s">
        <v>296</v>
      </c>
      <c r="G170" s="64" t="s">
        <v>167</v>
      </c>
      <c r="H170" s="107">
        <f>'Inputs by network level'!S43</f>
        <v>0.2881333333333333</v>
      </c>
    </row>
    <row r="171" spans="3:27" x14ac:dyDescent="0.35">
      <c r="F171" s="72" t="s">
        <v>305</v>
      </c>
      <c r="G171" s="28" t="s">
        <v>167</v>
      </c>
      <c r="H171" s="156">
        <f>SUM(H167:H168) - H170</f>
        <v>0.54186666666666672</v>
      </c>
    </row>
    <row r="172" spans="3:27" x14ac:dyDescent="0.35">
      <c r="F172" s="80" t="s">
        <v>257</v>
      </c>
      <c r="G172" s="67" t="s">
        <v>167</v>
      </c>
      <c r="H172" s="157">
        <f>H169</f>
        <v>0.17</v>
      </c>
    </row>
    <row r="173" spans="3:27" x14ac:dyDescent="0.35">
      <c r="E173" s="29"/>
      <c r="F173" s="28"/>
      <c r="G173" s="28"/>
    </row>
    <row r="174" spans="3:27" x14ac:dyDescent="0.3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35">
      <c r="E176" s="32" t="s">
        <v>479</v>
      </c>
      <c r="G176" s="28"/>
    </row>
    <row r="177" spans="5:25" x14ac:dyDescent="0.35">
      <c r="E177" s="29"/>
      <c r="F177" s="78" t="s">
        <v>465</v>
      </c>
      <c r="G177" s="64" t="s">
        <v>167</v>
      </c>
      <c r="H177" s="107"/>
      <c r="I177" s="23"/>
      <c r="J177" s="154">
        <f t="shared" ref="J177:K177" si="17">IF(J$20, $H106, $H103)</f>
        <v>0.46629999999999999</v>
      </c>
      <c r="K177" s="154">
        <f t="shared" si="17"/>
        <v>0.46629999999999999</v>
      </c>
      <c r="L177" s="154">
        <f t="shared" ref="L177:M177" si="18">IF(L$20, $H106, $H103)</f>
        <v>0.46629999999999999</v>
      </c>
      <c r="M177" s="154">
        <f t="shared" si="18"/>
        <v>0.46629999999999999</v>
      </c>
      <c r="N177" s="154">
        <f t="shared" ref="N177:P177" si="19">IF(N$20, $H106, $H103)</f>
        <v>0.46629999999999999</v>
      </c>
      <c r="O177" s="154">
        <f t="shared" si="19"/>
        <v>0.46629999999999999</v>
      </c>
      <c r="P177" s="154">
        <f t="shared" si="19"/>
        <v>0.46629999999999999</v>
      </c>
      <c r="Q177" s="154">
        <f t="shared" ref="Q177:S177" si="20">IF(Q$20, $H106, $H103)</f>
        <v>0.36606666666666671</v>
      </c>
      <c r="R177" s="154">
        <f t="shared" si="20"/>
        <v>0.46629999999999999</v>
      </c>
      <c r="S177" s="154">
        <f t="shared" si="20"/>
        <v>0.46629999999999999</v>
      </c>
      <c r="T177" s="154">
        <f t="shared" ref="T177:U177" si="21">IF(T$20, $H106, $H103)</f>
        <v>0.46629999999999999</v>
      </c>
      <c r="U177" s="154">
        <f t="shared" si="21"/>
        <v>0.46629999999999999</v>
      </c>
      <c r="V177" s="154">
        <f t="shared" ref="V177:W177" si="22">IF(V$20, $H106, $H103)</f>
        <v>0.46629999999999999</v>
      </c>
      <c r="W177" s="154">
        <f t="shared" si="22"/>
        <v>0.46629999999999999</v>
      </c>
      <c r="X177" s="154">
        <f t="shared" ref="X177:Y177" si="23">IF(X$20, $H106, $H103)</f>
        <v>0.46629999999999999</v>
      </c>
      <c r="Y177" s="154">
        <f t="shared" si="23"/>
        <v>0.46629999999999999</v>
      </c>
    </row>
    <row r="178" spans="5:25" x14ac:dyDescent="0.35">
      <c r="E178" s="29"/>
      <c r="F178" s="72" t="s">
        <v>466</v>
      </c>
      <c r="G178" s="28" t="s">
        <v>167</v>
      </c>
      <c r="H178" s="25"/>
      <c r="J178" s="145">
        <f t="shared" ref="J178:K178" si="24">IF(J$20, $H107, $H104)</f>
        <v>0.35620000000000002</v>
      </c>
      <c r="K178" s="145">
        <f t="shared" si="24"/>
        <v>0.35620000000000002</v>
      </c>
      <c r="L178" s="145">
        <f t="shared" ref="L178:M178" si="25">IF(L$20, $H107, $H104)</f>
        <v>0.35620000000000002</v>
      </c>
      <c r="M178" s="145">
        <f t="shared" si="25"/>
        <v>0.35620000000000002</v>
      </c>
      <c r="N178" s="145">
        <f t="shared" ref="N178:P178" si="26">IF(N$20, $H107, $H104)</f>
        <v>0.35620000000000002</v>
      </c>
      <c r="O178" s="145">
        <f t="shared" si="26"/>
        <v>0.35620000000000002</v>
      </c>
      <c r="P178" s="145">
        <f t="shared" si="26"/>
        <v>0.35620000000000002</v>
      </c>
      <c r="Q178" s="145">
        <f t="shared" ref="Q178:S178" si="27">IF(Q$20, $H107, $H104)</f>
        <v>0.4564333333333333</v>
      </c>
      <c r="R178" s="145">
        <f t="shared" si="27"/>
        <v>0.35620000000000002</v>
      </c>
      <c r="S178" s="145">
        <f t="shared" si="27"/>
        <v>0.35620000000000002</v>
      </c>
      <c r="T178" s="145">
        <f t="shared" ref="T178:U178" si="28">IF(T$20, $H107, $H104)</f>
        <v>0.35620000000000002</v>
      </c>
      <c r="U178" s="145">
        <f t="shared" si="28"/>
        <v>0.35620000000000002</v>
      </c>
      <c r="V178" s="145">
        <f t="shared" ref="V178:W178" si="29">IF(V$20, $H107, $H104)</f>
        <v>0.35620000000000002</v>
      </c>
      <c r="W178" s="145">
        <f t="shared" si="29"/>
        <v>0.35620000000000002</v>
      </c>
      <c r="X178" s="145">
        <f t="shared" ref="X178:Y178" si="30">IF(X$20, $H107, $H104)</f>
        <v>0.35620000000000002</v>
      </c>
      <c r="Y178" s="145">
        <f t="shared" si="30"/>
        <v>0.35620000000000002</v>
      </c>
    </row>
    <row r="179" spans="5:25" x14ac:dyDescent="0.35">
      <c r="E179" s="29"/>
      <c r="F179" s="80" t="s">
        <v>257</v>
      </c>
      <c r="G179" s="67" t="s">
        <v>167</v>
      </c>
      <c r="H179" s="141"/>
      <c r="I179" s="37"/>
      <c r="J179" s="155">
        <f t="shared" ref="J179:K179" si="31">IF(J$20, $H108, $H105)</f>
        <v>0.1777</v>
      </c>
      <c r="K179" s="155">
        <f t="shared" si="31"/>
        <v>0.1777</v>
      </c>
      <c r="L179" s="155">
        <f t="shared" ref="L179:M179" si="32">IF(L$20, $H108, $H105)</f>
        <v>0.1777</v>
      </c>
      <c r="M179" s="155">
        <f t="shared" si="32"/>
        <v>0.1777</v>
      </c>
      <c r="N179" s="155">
        <f t="shared" ref="N179:P179" si="33">IF(N$20, $H108, $H105)</f>
        <v>0.1777</v>
      </c>
      <c r="O179" s="155">
        <f t="shared" si="33"/>
        <v>0.1777</v>
      </c>
      <c r="P179" s="155">
        <f t="shared" si="33"/>
        <v>0.1777</v>
      </c>
      <c r="Q179" s="155">
        <f t="shared" ref="Q179:S179" si="34">IF(Q$20, $H108, $H105)</f>
        <v>0.1777</v>
      </c>
      <c r="R179" s="155">
        <f t="shared" si="34"/>
        <v>0.1777</v>
      </c>
      <c r="S179" s="155">
        <f t="shared" si="34"/>
        <v>0.1777</v>
      </c>
      <c r="T179" s="155">
        <f t="shared" ref="T179:U179" si="35">IF(T$20, $H108, $H105)</f>
        <v>0.1777</v>
      </c>
      <c r="U179" s="155">
        <f t="shared" si="35"/>
        <v>0.1777</v>
      </c>
      <c r="V179" s="155">
        <f t="shared" ref="V179:W179" si="36">IF(V$20, $H108, $H105)</f>
        <v>0.1777</v>
      </c>
      <c r="W179" s="155">
        <f t="shared" si="36"/>
        <v>0.1777</v>
      </c>
      <c r="X179" s="155">
        <f t="shared" ref="X179:Y179" si="37">IF(X$20, $H108, $H105)</f>
        <v>0.1777</v>
      </c>
      <c r="Y179" s="155">
        <f t="shared" si="37"/>
        <v>0.1777</v>
      </c>
    </row>
    <row r="180" spans="5:25" x14ac:dyDescent="0.3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35">
      <c r="E181" s="32" t="s">
        <v>480</v>
      </c>
      <c r="G181" s="28"/>
    </row>
    <row r="182" spans="5:25" x14ac:dyDescent="0.35">
      <c r="E182" s="29"/>
      <c r="F182" s="78" t="s">
        <v>465</v>
      </c>
      <c r="G182" s="64" t="s">
        <v>167</v>
      </c>
      <c r="H182" s="107"/>
      <c r="I182" s="23"/>
      <c r="J182" s="154">
        <f t="shared" ref="J182:K182" si="38">IF(J$20, $H114, $H111)</f>
        <v>0</v>
      </c>
      <c r="K182" s="154">
        <f t="shared" si="38"/>
        <v>0</v>
      </c>
      <c r="L182" s="154">
        <f t="shared" ref="L182:M182" si="39">IF(L$20, $H114, $H111)</f>
        <v>0</v>
      </c>
      <c r="M182" s="154">
        <f t="shared" si="39"/>
        <v>0</v>
      </c>
      <c r="N182" s="154">
        <f t="shared" ref="N182:P182" si="40">IF(N$20, $H114, $H111)</f>
        <v>0</v>
      </c>
      <c r="O182" s="154">
        <f t="shared" si="40"/>
        <v>0</v>
      </c>
      <c r="P182" s="154">
        <f t="shared" si="40"/>
        <v>0</v>
      </c>
      <c r="Q182" s="154">
        <f t="shared" ref="Q182:S182" si="41">IF(Q$20, $H114, $H111)</f>
        <v>0</v>
      </c>
      <c r="R182" s="154">
        <f t="shared" si="41"/>
        <v>0</v>
      </c>
      <c r="S182" s="154">
        <f t="shared" si="41"/>
        <v>0</v>
      </c>
      <c r="T182" s="154">
        <f t="shared" ref="T182:U182" si="42">IF(T$20, $H114, $H111)</f>
        <v>0</v>
      </c>
      <c r="U182" s="154">
        <f t="shared" si="42"/>
        <v>0</v>
      </c>
      <c r="V182" s="154">
        <f t="shared" ref="V182:W182" si="43">IF(V$20, $H114, $H111)</f>
        <v>0</v>
      </c>
      <c r="W182" s="154">
        <f t="shared" si="43"/>
        <v>0</v>
      </c>
      <c r="X182" s="154">
        <f t="shared" ref="X182:Y182" si="44">IF(X$20, $H114, $H111)</f>
        <v>0</v>
      </c>
      <c r="Y182" s="154">
        <f t="shared" si="44"/>
        <v>0</v>
      </c>
    </row>
    <row r="183" spans="5:25" x14ac:dyDescent="0.35">
      <c r="E183" s="29"/>
      <c r="F183" s="72" t="s">
        <v>466</v>
      </c>
      <c r="G183" s="28" t="s">
        <v>167</v>
      </c>
      <c r="H183" s="25"/>
      <c r="J183" s="145">
        <f t="shared" ref="J183:K183" si="45">IF(J$20, $H115, $H112)</f>
        <v>0</v>
      </c>
      <c r="K183" s="145">
        <f t="shared" si="45"/>
        <v>0</v>
      </c>
      <c r="L183" s="145">
        <f t="shared" ref="L183:M183" si="46">IF(L$20, $H115, $H112)</f>
        <v>0</v>
      </c>
      <c r="M183" s="145">
        <f t="shared" si="46"/>
        <v>0</v>
      </c>
      <c r="N183" s="145">
        <f t="shared" ref="N183:P183" si="47">IF(N$20, $H115, $H112)</f>
        <v>0</v>
      </c>
      <c r="O183" s="145">
        <f t="shared" si="47"/>
        <v>0</v>
      </c>
      <c r="P183" s="145">
        <f t="shared" si="47"/>
        <v>0</v>
      </c>
      <c r="Q183" s="145">
        <f t="shared" ref="Q183:S183" si="48">IF(Q$20, $H115, $H112)</f>
        <v>0</v>
      </c>
      <c r="R183" s="145">
        <f t="shared" si="48"/>
        <v>0</v>
      </c>
      <c r="S183" s="145">
        <f t="shared" si="48"/>
        <v>0</v>
      </c>
      <c r="T183" s="145">
        <f t="shared" ref="T183:U183" si="49">IF(T$20, $H115, $H112)</f>
        <v>0</v>
      </c>
      <c r="U183" s="145">
        <f t="shared" si="49"/>
        <v>0</v>
      </c>
      <c r="V183" s="145">
        <f t="shared" ref="V183:W183" si="50">IF(V$20, $H115, $H112)</f>
        <v>0</v>
      </c>
      <c r="W183" s="145">
        <f t="shared" si="50"/>
        <v>0</v>
      </c>
      <c r="X183" s="145">
        <f t="shared" ref="X183:Y183" si="51">IF(X$20, $H115, $H112)</f>
        <v>0</v>
      </c>
      <c r="Y183" s="145">
        <f t="shared" si="51"/>
        <v>0</v>
      </c>
    </row>
    <row r="184" spans="5:25" x14ac:dyDescent="0.35">
      <c r="E184" s="29"/>
      <c r="F184" s="80" t="s">
        <v>257</v>
      </c>
      <c r="G184" s="67" t="s">
        <v>167</v>
      </c>
      <c r="H184" s="141"/>
      <c r="I184" s="37"/>
      <c r="J184" s="155">
        <f t="shared" ref="J184:K184" si="52">IF(J$20, $H116, $H113)</f>
        <v>0</v>
      </c>
      <c r="K184" s="155">
        <f t="shared" si="52"/>
        <v>0</v>
      </c>
      <c r="L184" s="155">
        <f t="shared" ref="L184:M184" si="53">IF(L$20, $H116, $H113)</f>
        <v>0</v>
      </c>
      <c r="M184" s="155">
        <f t="shared" si="53"/>
        <v>0</v>
      </c>
      <c r="N184" s="155">
        <f t="shared" ref="N184:P184" si="54">IF(N$20, $H116, $H113)</f>
        <v>0</v>
      </c>
      <c r="O184" s="155">
        <f t="shared" si="54"/>
        <v>0</v>
      </c>
      <c r="P184" s="155">
        <f t="shared" si="54"/>
        <v>0</v>
      </c>
      <c r="Q184" s="155">
        <f t="shared" ref="Q184:S184" si="55">IF(Q$20, $H116, $H113)</f>
        <v>0</v>
      </c>
      <c r="R184" s="155">
        <f t="shared" si="55"/>
        <v>0</v>
      </c>
      <c r="S184" s="155">
        <f t="shared" si="55"/>
        <v>0</v>
      </c>
      <c r="T184" s="155">
        <f t="shared" ref="T184:U184" si="56">IF(T$20, $H116, $H113)</f>
        <v>0</v>
      </c>
      <c r="U184" s="155">
        <f t="shared" si="56"/>
        <v>0</v>
      </c>
      <c r="V184" s="155">
        <f t="shared" ref="V184:W184" si="57">IF(V$20, $H116, $H113)</f>
        <v>0</v>
      </c>
      <c r="W184" s="155">
        <f t="shared" si="57"/>
        <v>0</v>
      </c>
      <c r="X184" s="155">
        <f t="shared" ref="X184:Y184" si="58">IF(X$20, $H116, $H113)</f>
        <v>0</v>
      </c>
      <c r="Y184" s="155">
        <f t="shared" si="58"/>
        <v>0</v>
      </c>
    </row>
    <row r="185" spans="5:25" x14ac:dyDescent="0.3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35">
      <c r="E186" s="32" t="s">
        <v>481</v>
      </c>
      <c r="G186" s="28"/>
    </row>
    <row r="187" spans="5:25" x14ac:dyDescent="0.35">
      <c r="E187" s="29"/>
      <c r="F187" s="78" t="s">
        <v>465</v>
      </c>
      <c r="G187" s="64" t="s">
        <v>167</v>
      </c>
      <c r="H187" s="107"/>
      <c r="I187" s="23"/>
      <c r="J187" s="154">
        <f t="shared" ref="J187:K187" si="59">IF(J$20, $H122, $H119)</f>
        <v>0</v>
      </c>
      <c r="K187" s="154">
        <f t="shared" si="59"/>
        <v>0</v>
      </c>
      <c r="L187" s="154">
        <f t="shared" ref="L187:M187" si="60">IF(L$20, $H122, $H119)</f>
        <v>0</v>
      </c>
      <c r="M187" s="154">
        <f t="shared" si="60"/>
        <v>0</v>
      </c>
      <c r="N187" s="154">
        <f t="shared" ref="N187:P187" si="61">IF(N$20, $H122, $H119)</f>
        <v>0</v>
      </c>
      <c r="O187" s="154">
        <f t="shared" si="61"/>
        <v>0</v>
      </c>
      <c r="P187" s="154">
        <f t="shared" si="61"/>
        <v>0</v>
      </c>
      <c r="Q187" s="154">
        <f t="shared" ref="Q187:S187" si="62">IF(Q$20, $H122, $H119)</f>
        <v>0</v>
      </c>
      <c r="R187" s="154">
        <f t="shared" si="62"/>
        <v>0</v>
      </c>
      <c r="S187" s="154">
        <f t="shared" si="62"/>
        <v>0</v>
      </c>
      <c r="T187" s="154">
        <f t="shared" ref="T187:U187" si="63">IF(T$20, $H122, $H119)</f>
        <v>0</v>
      </c>
      <c r="U187" s="154">
        <f t="shared" si="63"/>
        <v>0</v>
      </c>
      <c r="V187" s="154">
        <f t="shared" ref="V187:W187" si="64">IF(V$20, $H122, $H119)</f>
        <v>0</v>
      </c>
      <c r="W187" s="154">
        <f t="shared" si="64"/>
        <v>0</v>
      </c>
      <c r="X187" s="154">
        <f t="shared" ref="X187:Y187" si="65">IF(X$20, $H122, $H119)</f>
        <v>0</v>
      </c>
      <c r="Y187" s="154">
        <f t="shared" si="65"/>
        <v>0</v>
      </c>
    </row>
    <row r="188" spans="5:25" x14ac:dyDescent="0.35">
      <c r="E188" s="29"/>
      <c r="F188" s="72" t="s">
        <v>466</v>
      </c>
      <c r="G188" s="28" t="s">
        <v>167</v>
      </c>
      <c r="H188" s="25"/>
      <c r="J188" s="145">
        <f t="shared" ref="J188:K188" si="66">IF(J$20, $H123, $H120)</f>
        <v>0</v>
      </c>
      <c r="K188" s="145">
        <f t="shared" si="66"/>
        <v>0</v>
      </c>
      <c r="L188" s="145">
        <f t="shared" ref="L188:M188" si="67">IF(L$20, $H123, $H120)</f>
        <v>0</v>
      </c>
      <c r="M188" s="145">
        <f t="shared" si="67"/>
        <v>0</v>
      </c>
      <c r="N188" s="145">
        <f t="shared" ref="N188:P188" si="68">IF(N$20, $H123, $H120)</f>
        <v>0</v>
      </c>
      <c r="O188" s="145">
        <f t="shared" si="68"/>
        <v>0</v>
      </c>
      <c r="P188" s="145">
        <f t="shared" si="68"/>
        <v>0</v>
      </c>
      <c r="Q188" s="145">
        <f t="shared" ref="Q188:S188" si="69">IF(Q$20, $H123, $H120)</f>
        <v>0</v>
      </c>
      <c r="R188" s="145">
        <f t="shared" si="69"/>
        <v>0</v>
      </c>
      <c r="S188" s="145">
        <f t="shared" si="69"/>
        <v>0</v>
      </c>
      <c r="T188" s="145">
        <f t="shared" ref="T188:U188" si="70">IF(T$20, $H123, $H120)</f>
        <v>0</v>
      </c>
      <c r="U188" s="145">
        <f t="shared" si="70"/>
        <v>0</v>
      </c>
      <c r="V188" s="145">
        <f t="shared" ref="V188:W188" si="71">IF(V$20, $H123, $H120)</f>
        <v>0</v>
      </c>
      <c r="W188" s="145">
        <f t="shared" si="71"/>
        <v>0</v>
      </c>
      <c r="X188" s="145">
        <f t="shared" ref="X188:Y188" si="72">IF(X$20, $H123, $H120)</f>
        <v>0</v>
      </c>
      <c r="Y188" s="145">
        <f t="shared" si="72"/>
        <v>0</v>
      </c>
    </row>
    <row r="189" spans="5:25" x14ac:dyDescent="0.35">
      <c r="E189" s="29"/>
      <c r="F189" s="80" t="s">
        <v>257</v>
      </c>
      <c r="G189" s="67" t="s">
        <v>167</v>
      </c>
      <c r="H189" s="141"/>
      <c r="I189" s="37"/>
      <c r="J189" s="155">
        <f t="shared" ref="J189:K189" si="73">IF(J$20, $H124, $H121)</f>
        <v>0</v>
      </c>
      <c r="K189" s="155">
        <f t="shared" si="73"/>
        <v>0</v>
      </c>
      <c r="L189" s="155">
        <f t="shared" ref="L189:M189" si="74">IF(L$20, $H124, $H121)</f>
        <v>0</v>
      </c>
      <c r="M189" s="155">
        <f t="shared" si="74"/>
        <v>0</v>
      </c>
      <c r="N189" s="155">
        <f t="shared" ref="N189:P189" si="75">IF(N$20, $H124, $H121)</f>
        <v>0</v>
      </c>
      <c r="O189" s="155">
        <f t="shared" si="75"/>
        <v>0</v>
      </c>
      <c r="P189" s="155">
        <f t="shared" si="75"/>
        <v>0</v>
      </c>
      <c r="Q189" s="155">
        <f t="shared" ref="Q189:S189" si="76">IF(Q$20, $H124, $H121)</f>
        <v>0</v>
      </c>
      <c r="R189" s="155">
        <f t="shared" si="76"/>
        <v>0</v>
      </c>
      <c r="S189" s="155">
        <f t="shared" si="76"/>
        <v>0</v>
      </c>
      <c r="T189" s="155">
        <f t="shared" ref="T189:U189" si="77">IF(T$20, $H124, $H121)</f>
        <v>0</v>
      </c>
      <c r="U189" s="155">
        <f t="shared" si="77"/>
        <v>0</v>
      </c>
      <c r="V189" s="155">
        <f t="shared" ref="V189:W189" si="78">IF(V$20, $H124, $H121)</f>
        <v>0</v>
      </c>
      <c r="W189" s="155">
        <f t="shared" si="78"/>
        <v>0</v>
      </c>
      <c r="X189" s="155">
        <f t="shared" ref="X189:Y189" si="79">IF(X$20, $H124, $H121)</f>
        <v>0</v>
      </c>
      <c r="Y189" s="155">
        <f t="shared" si="79"/>
        <v>0</v>
      </c>
    </row>
    <row r="190" spans="5:25" x14ac:dyDescent="0.3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35">
      <c r="E191" s="32" t="s">
        <v>482</v>
      </c>
      <c r="G191" s="28"/>
    </row>
    <row r="192" spans="5:25" x14ac:dyDescent="0.35">
      <c r="E192" s="29"/>
      <c r="F192" s="78" t="s">
        <v>465</v>
      </c>
      <c r="G192" s="64" t="s">
        <v>167</v>
      </c>
      <c r="H192" s="107"/>
      <c r="I192" s="23"/>
      <c r="J192" s="154">
        <f t="shared" ref="J192:K192" si="80">IF(J$20, $H130, $H127)</f>
        <v>0.44</v>
      </c>
      <c r="K192" s="154">
        <f t="shared" si="80"/>
        <v>0.44</v>
      </c>
      <c r="L192" s="154">
        <f t="shared" ref="L192:M192" si="81">IF(L$20, $H130, $H127)</f>
        <v>0.44</v>
      </c>
      <c r="M192" s="154">
        <f t="shared" si="81"/>
        <v>0.44</v>
      </c>
      <c r="N192" s="154">
        <f t="shared" ref="N192:P192" si="82">IF(N$20, $H130, $H127)</f>
        <v>0.44</v>
      </c>
      <c r="O192" s="154">
        <f t="shared" si="82"/>
        <v>0.44</v>
      </c>
      <c r="P192" s="154">
        <f t="shared" si="82"/>
        <v>0.44</v>
      </c>
      <c r="Q192" s="154">
        <f t="shared" ref="Q192:S192" si="83">IF(Q$20, $H130, $H127)</f>
        <v>0.32979999999999998</v>
      </c>
      <c r="R192" s="154">
        <f t="shared" si="83"/>
        <v>0.44</v>
      </c>
      <c r="S192" s="154">
        <f t="shared" si="83"/>
        <v>0.44</v>
      </c>
      <c r="T192" s="154">
        <f t="shared" ref="T192:U192" si="84">IF(T$20, $H130, $H127)</f>
        <v>0.44</v>
      </c>
      <c r="U192" s="154">
        <f t="shared" si="84"/>
        <v>0.44</v>
      </c>
      <c r="V192" s="154">
        <f t="shared" ref="V192:W192" si="85">IF(V$20, $H130, $H127)</f>
        <v>0.44</v>
      </c>
      <c r="W192" s="154">
        <f t="shared" si="85"/>
        <v>0.44</v>
      </c>
      <c r="X192" s="154">
        <f t="shared" ref="X192:Y192" si="86">IF(X$20, $H130, $H127)</f>
        <v>0.44</v>
      </c>
      <c r="Y192" s="154">
        <f t="shared" si="86"/>
        <v>0.44</v>
      </c>
    </row>
    <row r="193" spans="5:25" x14ac:dyDescent="0.35">
      <c r="E193" s="29"/>
      <c r="F193" s="72" t="s">
        <v>466</v>
      </c>
      <c r="G193" s="28" t="s">
        <v>167</v>
      </c>
      <c r="H193" s="25"/>
      <c r="J193" s="145">
        <f t="shared" ref="J193:K193" si="87">IF(J$20, $H131, $H128)</f>
        <v>0.41</v>
      </c>
      <c r="K193" s="145">
        <f t="shared" si="87"/>
        <v>0.41</v>
      </c>
      <c r="L193" s="145">
        <f t="shared" ref="L193:M193" si="88">IF(L$20, $H131, $H128)</f>
        <v>0.41</v>
      </c>
      <c r="M193" s="145">
        <f t="shared" si="88"/>
        <v>0.41</v>
      </c>
      <c r="N193" s="145">
        <f t="shared" ref="N193:P193" si="89">IF(N$20, $H131, $H128)</f>
        <v>0.41</v>
      </c>
      <c r="O193" s="145">
        <f t="shared" si="89"/>
        <v>0.41</v>
      </c>
      <c r="P193" s="145">
        <f t="shared" si="89"/>
        <v>0.41</v>
      </c>
      <c r="Q193" s="145">
        <f t="shared" ref="Q193:S193" si="90">IF(Q$20, $H131, $H128)</f>
        <v>0.5202</v>
      </c>
      <c r="R193" s="145">
        <f t="shared" si="90"/>
        <v>0.41</v>
      </c>
      <c r="S193" s="145">
        <f t="shared" si="90"/>
        <v>0.41</v>
      </c>
      <c r="T193" s="145">
        <f t="shared" ref="T193:U193" si="91">IF(T$20, $H131, $H128)</f>
        <v>0.41</v>
      </c>
      <c r="U193" s="145">
        <f t="shared" si="91"/>
        <v>0.41</v>
      </c>
      <c r="V193" s="145">
        <f t="shared" ref="V193:W193" si="92">IF(V$20, $H131, $H128)</f>
        <v>0.41</v>
      </c>
      <c r="W193" s="145">
        <f t="shared" si="92"/>
        <v>0.41</v>
      </c>
      <c r="X193" s="145">
        <f t="shared" ref="X193:Y193" si="93">IF(X$20, $H131, $H128)</f>
        <v>0.41</v>
      </c>
      <c r="Y193" s="145">
        <f t="shared" si="93"/>
        <v>0.41</v>
      </c>
    </row>
    <row r="194" spans="5:25" x14ac:dyDescent="0.35">
      <c r="E194" s="29"/>
      <c r="F194" s="80" t="s">
        <v>257</v>
      </c>
      <c r="G194" s="67" t="s">
        <v>167</v>
      </c>
      <c r="H194" s="141"/>
      <c r="I194" s="37"/>
      <c r="J194" s="155">
        <f t="shared" ref="J194:K194" si="94">IF(J$20, $H132, $H129)</f>
        <v>0.15</v>
      </c>
      <c r="K194" s="155">
        <f t="shared" si="94"/>
        <v>0.15</v>
      </c>
      <c r="L194" s="155">
        <f t="shared" ref="L194:M194" si="95">IF(L$20, $H132, $H129)</f>
        <v>0.15</v>
      </c>
      <c r="M194" s="155">
        <f t="shared" si="95"/>
        <v>0.15</v>
      </c>
      <c r="N194" s="155">
        <f t="shared" ref="N194:P194" si="96">IF(N$20, $H132, $H129)</f>
        <v>0.15</v>
      </c>
      <c r="O194" s="155">
        <f t="shared" si="96"/>
        <v>0.15</v>
      </c>
      <c r="P194" s="155">
        <f t="shared" si="96"/>
        <v>0.15</v>
      </c>
      <c r="Q194" s="155">
        <f t="shared" ref="Q194:S194" si="97">IF(Q$20, $H132, $H129)</f>
        <v>0.15</v>
      </c>
      <c r="R194" s="155">
        <f t="shared" si="97"/>
        <v>0.15</v>
      </c>
      <c r="S194" s="155">
        <f t="shared" si="97"/>
        <v>0.15</v>
      </c>
      <c r="T194" s="155">
        <f t="shared" ref="T194:U194" si="98">IF(T$20, $H132, $H129)</f>
        <v>0.15</v>
      </c>
      <c r="U194" s="155">
        <f t="shared" si="98"/>
        <v>0.15</v>
      </c>
      <c r="V194" s="155">
        <f t="shared" ref="V194:W194" si="99">IF(V$20, $H132, $H129)</f>
        <v>0.15</v>
      </c>
      <c r="W194" s="155">
        <f t="shared" si="99"/>
        <v>0.15</v>
      </c>
      <c r="X194" s="155">
        <f t="shared" ref="X194:Y194" si="100">IF(X$20, $H132, $H129)</f>
        <v>0.15</v>
      </c>
      <c r="Y194" s="155">
        <f t="shared" si="100"/>
        <v>0.15</v>
      </c>
    </row>
    <row r="195" spans="5:25" x14ac:dyDescent="0.3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35">
      <c r="E196" s="32" t="s">
        <v>483</v>
      </c>
      <c r="G196" s="28"/>
    </row>
    <row r="197" spans="5:25" x14ac:dyDescent="0.35">
      <c r="E197" s="29"/>
      <c r="F197" s="78" t="s">
        <v>465</v>
      </c>
      <c r="G197" s="64" t="s">
        <v>167</v>
      </c>
      <c r="H197" s="107"/>
      <c r="I197" s="23"/>
      <c r="J197" s="154">
        <f t="shared" ref="J197:K197" si="101">IF(J$20, $H138, $H135)</f>
        <v>0.44</v>
      </c>
      <c r="K197" s="154">
        <f t="shared" si="101"/>
        <v>0.44</v>
      </c>
      <c r="L197" s="154">
        <f t="shared" ref="L197:M197" si="102">IF(L$20, $H138, $H135)</f>
        <v>0.44</v>
      </c>
      <c r="M197" s="154">
        <f t="shared" si="102"/>
        <v>0.44</v>
      </c>
      <c r="N197" s="154">
        <f t="shared" ref="N197:P197" si="103">IF(N$20, $H138, $H135)</f>
        <v>0.44</v>
      </c>
      <c r="O197" s="154">
        <f t="shared" si="103"/>
        <v>0.44</v>
      </c>
      <c r="P197" s="154">
        <f t="shared" si="103"/>
        <v>0.44</v>
      </c>
      <c r="Q197" s="154">
        <f t="shared" ref="Q197:S197" si="104">IF(Q$20, $H138, $H135)</f>
        <v>0.32979999999999998</v>
      </c>
      <c r="R197" s="154">
        <f t="shared" si="104"/>
        <v>0.44</v>
      </c>
      <c r="S197" s="154">
        <f t="shared" si="104"/>
        <v>0.44</v>
      </c>
      <c r="T197" s="154">
        <f t="shared" ref="T197:U197" si="105">IF(T$20, $H138, $H135)</f>
        <v>0.44</v>
      </c>
      <c r="U197" s="154">
        <f t="shared" si="105"/>
        <v>0.44</v>
      </c>
      <c r="V197" s="154">
        <f t="shared" ref="V197:W197" si="106">IF(V$20, $H138, $H135)</f>
        <v>0.44</v>
      </c>
      <c r="W197" s="154">
        <f t="shared" si="106"/>
        <v>0.44</v>
      </c>
      <c r="X197" s="154">
        <f t="shared" ref="X197:Y197" si="107">IF(X$20, $H138, $H135)</f>
        <v>0.44</v>
      </c>
      <c r="Y197" s="154">
        <f t="shared" si="107"/>
        <v>0.44</v>
      </c>
    </row>
    <row r="198" spans="5:25" x14ac:dyDescent="0.35">
      <c r="E198" s="29"/>
      <c r="F198" s="72" t="s">
        <v>466</v>
      </c>
      <c r="G198" s="28" t="s">
        <v>167</v>
      </c>
      <c r="H198" s="25"/>
      <c r="J198" s="145">
        <f t="shared" ref="J198:K198" si="108">IF(J$20, $H139, $H136)</f>
        <v>0.41</v>
      </c>
      <c r="K198" s="145">
        <f t="shared" si="108"/>
        <v>0.41</v>
      </c>
      <c r="L198" s="145">
        <f t="shared" ref="L198:M198" si="109">IF(L$20, $H139, $H136)</f>
        <v>0.41</v>
      </c>
      <c r="M198" s="145">
        <f t="shared" si="109"/>
        <v>0.41</v>
      </c>
      <c r="N198" s="145">
        <f t="shared" ref="N198:P198" si="110">IF(N$20, $H139, $H136)</f>
        <v>0.41</v>
      </c>
      <c r="O198" s="145">
        <f t="shared" si="110"/>
        <v>0.41</v>
      </c>
      <c r="P198" s="145">
        <f t="shared" si="110"/>
        <v>0.41</v>
      </c>
      <c r="Q198" s="145">
        <f t="shared" ref="Q198:S198" si="111">IF(Q$20, $H139, $H136)</f>
        <v>0.5202</v>
      </c>
      <c r="R198" s="145">
        <f t="shared" si="111"/>
        <v>0.41</v>
      </c>
      <c r="S198" s="145">
        <f t="shared" si="111"/>
        <v>0.41</v>
      </c>
      <c r="T198" s="145">
        <f t="shared" ref="T198:U198" si="112">IF(T$20, $H139, $H136)</f>
        <v>0.41</v>
      </c>
      <c r="U198" s="145">
        <f t="shared" si="112"/>
        <v>0.41</v>
      </c>
      <c r="V198" s="145">
        <f t="shared" ref="V198:W198" si="113">IF(V$20, $H139, $H136)</f>
        <v>0.41</v>
      </c>
      <c r="W198" s="145">
        <f t="shared" si="113"/>
        <v>0.41</v>
      </c>
      <c r="X198" s="145">
        <f t="shared" ref="X198:Y198" si="114">IF(X$20, $H139, $H136)</f>
        <v>0.41</v>
      </c>
      <c r="Y198" s="145">
        <f t="shared" si="114"/>
        <v>0.41</v>
      </c>
    </row>
    <row r="199" spans="5:25" x14ac:dyDescent="0.35">
      <c r="E199" s="29"/>
      <c r="F199" s="80" t="s">
        <v>257</v>
      </c>
      <c r="G199" s="67" t="s">
        <v>167</v>
      </c>
      <c r="H199" s="141"/>
      <c r="I199" s="37"/>
      <c r="J199" s="155">
        <f t="shared" ref="J199:K199" si="115">IF(J$20, $H140, $H137)</f>
        <v>0.15</v>
      </c>
      <c r="K199" s="155">
        <f t="shared" si="115"/>
        <v>0.15</v>
      </c>
      <c r="L199" s="155">
        <f t="shared" ref="L199:M199" si="116">IF(L$20, $H140, $H137)</f>
        <v>0.15</v>
      </c>
      <c r="M199" s="155">
        <f t="shared" si="116"/>
        <v>0.15</v>
      </c>
      <c r="N199" s="155">
        <f t="shared" ref="N199:P199" si="117">IF(N$20, $H140, $H137)</f>
        <v>0.15</v>
      </c>
      <c r="O199" s="155">
        <f t="shared" si="117"/>
        <v>0.15</v>
      </c>
      <c r="P199" s="155">
        <f t="shared" si="117"/>
        <v>0.15</v>
      </c>
      <c r="Q199" s="155">
        <f t="shared" ref="Q199:S199" si="118">IF(Q$20, $H140, $H137)</f>
        <v>0.15</v>
      </c>
      <c r="R199" s="155">
        <f t="shared" si="118"/>
        <v>0.15</v>
      </c>
      <c r="S199" s="155">
        <f t="shared" si="118"/>
        <v>0.15</v>
      </c>
      <c r="T199" s="155">
        <f t="shared" ref="T199:U199" si="119">IF(T$20, $H140, $H137)</f>
        <v>0.15</v>
      </c>
      <c r="U199" s="155">
        <f t="shared" si="119"/>
        <v>0.15</v>
      </c>
      <c r="V199" s="155">
        <f t="shared" ref="V199:W199" si="120">IF(V$20, $H140, $H137)</f>
        <v>0.15</v>
      </c>
      <c r="W199" s="155">
        <f t="shared" si="120"/>
        <v>0.15</v>
      </c>
      <c r="X199" s="155">
        <f t="shared" ref="X199:Y199" si="121">IF(X$20, $H140, $H137)</f>
        <v>0.15</v>
      </c>
      <c r="Y199" s="155">
        <f t="shared" si="121"/>
        <v>0.15</v>
      </c>
    </row>
    <row r="200" spans="5:25" x14ac:dyDescent="0.3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35">
      <c r="E201" s="32" t="s">
        <v>484</v>
      </c>
      <c r="G201" s="28"/>
    </row>
    <row r="202" spans="5:25" x14ac:dyDescent="0.35">
      <c r="E202" s="29"/>
      <c r="F202" s="78" t="s">
        <v>465</v>
      </c>
      <c r="G202" s="64" t="s">
        <v>167</v>
      </c>
      <c r="H202" s="107"/>
      <c r="I202" s="23"/>
      <c r="J202" s="154">
        <f t="shared" ref="J202:K202" si="122">IF(J$20, $H146, $H143)</f>
        <v>0</v>
      </c>
      <c r="K202" s="154">
        <f t="shared" si="122"/>
        <v>0</v>
      </c>
      <c r="L202" s="154">
        <f t="shared" ref="L202:M202" si="123">IF(L$20, $H146, $H143)</f>
        <v>0</v>
      </c>
      <c r="M202" s="154">
        <f t="shared" si="123"/>
        <v>0</v>
      </c>
      <c r="N202" s="154">
        <f t="shared" ref="N202:P202" si="124">IF(N$20, $H146, $H143)</f>
        <v>0</v>
      </c>
      <c r="O202" s="154">
        <f t="shared" si="124"/>
        <v>0</v>
      </c>
      <c r="P202" s="154">
        <f t="shared" si="124"/>
        <v>0</v>
      </c>
      <c r="Q202" s="154">
        <f t="shared" ref="Q202:S202" si="125">IF(Q$20, $H146, $H143)</f>
        <v>0</v>
      </c>
      <c r="R202" s="154">
        <f t="shared" si="125"/>
        <v>0</v>
      </c>
      <c r="S202" s="154">
        <f t="shared" si="125"/>
        <v>0</v>
      </c>
      <c r="T202" s="154">
        <f t="shared" ref="T202:U202" si="126">IF(T$20, $H146, $H143)</f>
        <v>0</v>
      </c>
      <c r="U202" s="154">
        <f t="shared" si="126"/>
        <v>0</v>
      </c>
      <c r="V202" s="154">
        <f t="shared" ref="V202:W202" si="127">IF(V$20, $H146, $H143)</f>
        <v>0</v>
      </c>
      <c r="W202" s="154">
        <f t="shared" si="127"/>
        <v>0</v>
      </c>
      <c r="X202" s="154">
        <f t="shared" ref="X202:Y202" si="128">IF(X$20, $H146, $H143)</f>
        <v>0</v>
      </c>
      <c r="Y202" s="154">
        <f t="shared" si="128"/>
        <v>0</v>
      </c>
    </row>
    <row r="203" spans="5:25" x14ac:dyDescent="0.35">
      <c r="E203" s="29"/>
      <c r="F203" s="72" t="s">
        <v>466</v>
      </c>
      <c r="G203" s="28" t="s">
        <v>167</v>
      </c>
      <c r="H203" s="25"/>
      <c r="J203" s="145">
        <f t="shared" ref="J203:K203" si="129">IF(J$20, $H147, $H144)</f>
        <v>0</v>
      </c>
      <c r="K203" s="145">
        <f t="shared" si="129"/>
        <v>0</v>
      </c>
      <c r="L203" s="145">
        <f t="shared" ref="L203:M203" si="130">IF(L$20, $H147, $H144)</f>
        <v>0</v>
      </c>
      <c r="M203" s="145">
        <f t="shared" si="130"/>
        <v>0</v>
      </c>
      <c r="N203" s="145">
        <f t="shared" ref="N203:P203" si="131">IF(N$20, $H147, $H144)</f>
        <v>0</v>
      </c>
      <c r="O203" s="145">
        <f t="shared" si="131"/>
        <v>0</v>
      </c>
      <c r="P203" s="145">
        <f t="shared" si="131"/>
        <v>0</v>
      </c>
      <c r="Q203" s="145">
        <f t="shared" ref="Q203:S203" si="132">IF(Q$20, $H147, $H144)</f>
        <v>0</v>
      </c>
      <c r="R203" s="145">
        <f t="shared" si="132"/>
        <v>0</v>
      </c>
      <c r="S203" s="145">
        <f t="shared" si="132"/>
        <v>0</v>
      </c>
      <c r="T203" s="145">
        <f t="shared" ref="T203:U203" si="133">IF(T$20, $H147, $H144)</f>
        <v>0</v>
      </c>
      <c r="U203" s="145">
        <f t="shared" si="133"/>
        <v>0</v>
      </c>
      <c r="V203" s="145">
        <f t="shared" ref="V203:W203" si="134">IF(V$20, $H147, $H144)</f>
        <v>0</v>
      </c>
      <c r="W203" s="145">
        <f t="shared" si="134"/>
        <v>0</v>
      </c>
      <c r="X203" s="145">
        <f t="shared" ref="X203:Y203" si="135">IF(X$20, $H147, $H144)</f>
        <v>0</v>
      </c>
      <c r="Y203" s="145">
        <f t="shared" si="135"/>
        <v>0</v>
      </c>
    </row>
    <row r="204" spans="5:25" x14ac:dyDescent="0.35">
      <c r="E204" s="29"/>
      <c r="F204" s="80" t="s">
        <v>257</v>
      </c>
      <c r="G204" s="67" t="s">
        <v>167</v>
      </c>
      <c r="H204" s="141"/>
      <c r="I204" s="37"/>
      <c r="J204" s="155">
        <f t="shared" ref="J204:K204" si="136">IF(J$20, $H148, $H145)</f>
        <v>0</v>
      </c>
      <c r="K204" s="155">
        <f t="shared" si="136"/>
        <v>0</v>
      </c>
      <c r="L204" s="155">
        <f t="shared" ref="L204:M204" si="137">IF(L$20, $H148, $H145)</f>
        <v>0</v>
      </c>
      <c r="M204" s="155">
        <f t="shared" si="137"/>
        <v>0</v>
      </c>
      <c r="N204" s="155">
        <f t="shared" ref="N204:P204" si="138">IF(N$20, $H148, $H145)</f>
        <v>0</v>
      </c>
      <c r="O204" s="155">
        <f t="shared" si="138"/>
        <v>0</v>
      </c>
      <c r="P204" s="155">
        <f t="shared" si="138"/>
        <v>0</v>
      </c>
      <c r="Q204" s="155">
        <f t="shared" ref="Q204:S204" si="139">IF(Q$20, $H148, $H145)</f>
        <v>0</v>
      </c>
      <c r="R204" s="155">
        <f t="shared" si="139"/>
        <v>0</v>
      </c>
      <c r="S204" s="155">
        <f t="shared" si="139"/>
        <v>0</v>
      </c>
      <c r="T204" s="155">
        <f t="shared" ref="T204:U204" si="140">IF(T$20, $H148, $H145)</f>
        <v>0</v>
      </c>
      <c r="U204" s="155">
        <f t="shared" si="140"/>
        <v>0</v>
      </c>
      <c r="V204" s="155">
        <f t="shared" ref="V204:W204" si="141">IF(V$20, $H148, $H145)</f>
        <v>0</v>
      </c>
      <c r="W204" s="155">
        <f t="shared" si="141"/>
        <v>0</v>
      </c>
      <c r="X204" s="155">
        <f t="shared" ref="X204:Y204" si="142">IF(X$20, $H148, $H145)</f>
        <v>0</v>
      </c>
      <c r="Y204" s="155">
        <f t="shared" si="142"/>
        <v>0</v>
      </c>
    </row>
    <row r="205" spans="5:25" x14ac:dyDescent="0.3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35">
      <c r="E206" s="32" t="s">
        <v>485</v>
      </c>
      <c r="G206" s="28"/>
    </row>
    <row r="207" spans="5:25" x14ac:dyDescent="0.35">
      <c r="E207" s="29"/>
      <c r="F207" s="78" t="s">
        <v>465</v>
      </c>
      <c r="G207" s="64" t="s">
        <v>167</v>
      </c>
      <c r="H207" s="107"/>
      <c r="I207" s="23"/>
      <c r="J207" s="154">
        <f t="shared" ref="J207:K207" si="143">IF(J$20, $H154, $H151)</f>
        <v>0.39</v>
      </c>
      <c r="K207" s="154">
        <f t="shared" si="143"/>
        <v>0.39</v>
      </c>
      <c r="L207" s="154">
        <f t="shared" ref="L207:M207" si="144">IF(L$20, $H154, $H151)</f>
        <v>0.39</v>
      </c>
      <c r="M207" s="154">
        <f t="shared" si="144"/>
        <v>0.39</v>
      </c>
      <c r="N207" s="154">
        <f t="shared" ref="N207:P207" si="145">IF(N$20, $H154, $H151)</f>
        <v>0.39</v>
      </c>
      <c r="O207" s="154">
        <f t="shared" si="145"/>
        <v>0.39</v>
      </c>
      <c r="P207" s="154">
        <f t="shared" si="145"/>
        <v>0.39</v>
      </c>
      <c r="Q207" s="154">
        <f t="shared" ref="Q207:S207" si="146">IF(Q$20, $H154, $H151)</f>
        <v>0.2881333333333333</v>
      </c>
      <c r="R207" s="154">
        <f t="shared" si="146"/>
        <v>0.39</v>
      </c>
      <c r="S207" s="154">
        <f t="shared" si="146"/>
        <v>0.39</v>
      </c>
      <c r="T207" s="154">
        <f t="shared" ref="T207:U207" si="147">IF(T$20, $H154, $H151)</f>
        <v>0.39</v>
      </c>
      <c r="U207" s="154">
        <f t="shared" si="147"/>
        <v>0.39</v>
      </c>
      <c r="V207" s="154">
        <f t="shared" ref="V207:W207" si="148">IF(V$20, $H154, $H151)</f>
        <v>0.39</v>
      </c>
      <c r="W207" s="154">
        <f t="shared" si="148"/>
        <v>0.39</v>
      </c>
      <c r="X207" s="154">
        <f t="shared" ref="X207:Y207" si="149">IF(X$20, $H154, $H151)</f>
        <v>0.39</v>
      </c>
      <c r="Y207" s="154">
        <f t="shared" si="149"/>
        <v>0.39</v>
      </c>
    </row>
    <row r="208" spans="5:25" x14ac:dyDescent="0.35">
      <c r="E208" s="29"/>
      <c r="F208" s="72" t="s">
        <v>466</v>
      </c>
      <c r="G208" s="28" t="s">
        <v>167</v>
      </c>
      <c r="H208" s="25"/>
      <c r="J208" s="145">
        <f t="shared" ref="J208:K208" si="150">IF(J$20, $H155, $H152)</f>
        <v>0.44</v>
      </c>
      <c r="K208" s="145">
        <f t="shared" si="150"/>
        <v>0.44</v>
      </c>
      <c r="L208" s="145">
        <f t="shared" ref="L208:M208" si="151">IF(L$20, $H155, $H152)</f>
        <v>0.44</v>
      </c>
      <c r="M208" s="145">
        <f t="shared" si="151"/>
        <v>0.44</v>
      </c>
      <c r="N208" s="145">
        <f t="shared" ref="N208:P208" si="152">IF(N$20, $H155, $H152)</f>
        <v>0.44</v>
      </c>
      <c r="O208" s="145">
        <f t="shared" si="152"/>
        <v>0.44</v>
      </c>
      <c r="P208" s="145">
        <f t="shared" si="152"/>
        <v>0.44</v>
      </c>
      <c r="Q208" s="145">
        <f t="shared" ref="Q208:S208" si="153">IF(Q$20, $H155, $H152)</f>
        <v>0.54186666666666672</v>
      </c>
      <c r="R208" s="145">
        <f t="shared" si="153"/>
        <v>0.44</v>
      </c>
      <c r="S208" s="145">
        <f t="shared" si="153"/>
        <v>0.44</v>
      </c>
      <c r="T208" s="145">
        <f t="shared" ref="T208:U208" si="154">IF(T$20, $H155, $H152)</f>
        <v>0.44</v>
      </c>
      <c r="U208" s="145">
        <f t="shared" si="154"/>
        <v>0.44</v>
      </c>
      <c r="V208" s="145">
        <f t="shared" ref="V208:W208" si="155">IF(V$20, $H155, $H152)</f>
        <v>0.44</v>
      </c>
      <c r="W208" s="145">
        <f t="shared" si="155"/>
        <v>0.44</v>
      </c>
      <c r="X208" s="145">
        <f t="shared" ref="X208:Y208" si="156">IF(X$20, $H155, $H152)</f>
        <v>0.44</v>
      </c>
      <c r="Y208" s="145">
        <f t="shared" si="156"/>
        <v>0.44</v>
      </c>
    </row>
    <row r="209" spans="3:27" x14ac:dyDescent="0.35">
      <c r="E209" s="29"/>
      <c r="F209" s="80" t="s">
        <v>257</v>
      </c>
      <c r="G209" s="67" t="s">
        <v>167</v>
      </c>
      <c r="H209" s="141"/>
      <c r="I209" s="37"/>
      <c r="J209" s="155">
        <f t="shared" ref="J209:K209" si="157">IF(J$20, $H156, $H153)</f>
        <v>0.17</v>
      </c>
      <c r="K209" s="155">
        <f t="shared" si="157"/>
        <v>0.17</v>
      </c>
      <c r="L209" s="155">
        <f t="shared" ref="L209:M209" si="158">IF(L$20, $H156, $H153)</f>
        <v>0.17</v>
      </c>
      <c r="M209" s="155">
        <f t="shared" si="158"/>
        <v>0.17</v>
      </c>
      <c r="N209" s="155">
        <f t="shared" ref="N209:P209" si="159">IF(N$20, $H156, $H153)</f>
        <v>0.17</v>
      </c>
      <c r="O209" s="155">
        <f t="shared" si="159"/>
        <v>0.17</v>
      </c>
      <c r="P209" s="155">
        <f t="shared" si="159"/>
        <v>0.17</v>
      </c>
      <c r="Q209" s="155">
        <f t="shared" ref="Q209:S209" si="160">IF(Q$20, $H156, $H153)</f>
        <v>0.17</v>
      </c>
      <c r="R209" s="155">
        <f t="shared" si="160"/>
        <v>0.17</v>
      </c>
      <c r="S209" s="155">
        <f t="shared" si="160"/>
        <v>0.17</v>
      </c>
      <c r="T209" s="155">
        <f t="shared" ref="T209:U209" si="161">IF(T$20, $H156, $H153)</f>
        <v>0.17</v>
      </c>
      <c r="U209" s="155">
        <f t="shared" si="161"/>
        <v>0.17</v>
      </c>
      <c r="V209" s="155">
        <f t="shared" ref="V209:W209" si="162">IF(V$20, $H156, $H153)</f>
        <v>0.17</v>
      </c>
      <c r="W209" s="155">
        <f t="shared" si="162"/>
        <v>0.17</v>
      </c>
      <c r="X209" s="155">
        <f t="shared" ref="X209:Y209" si="163">IF(X$20, $H156, $H153)</f>
        <v>0.17</v>
      </c>
      <c r="Y209" s="155">
        <f t="shared" si="163"/>
        <v>0.17</v>
      </c>
    </row>
    <row r="210" spans="3:27" x14ac:dyDescent="0.3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35">
      <c r="E211" s="32" t="s">
        <v>486</v>
      </c>
      <c r="G211" s="28"/>
    </row>
    <row r="212" spans="3:27" x14ac:dyDescent="0.35">
      <c r="E212" s="29"/>
      <c r="F212" s="78" t="s">
        <v>465</v>
      </c>
      <c r="G212" s="64" t="s">
        <v>167</v>
      </c>
      <c r="H212" s="107"/>
      <c r="I212" s="23"/>
      <c r="J212" s="154">
        <f t="shared" ref="J212:K212" si="164">IF(J$20, $H162, $H159)</f>
        <v>0.39</v>
      </c>
      <c r="K212" s="154">
        <f t="shared" si="164"/>
        <v>0.39</v>
      </c>
      <c r="L212" s="154">
        <f t="shared" ref="L212:M212" si="165">IF(L$20, $H162, $H159)</f>
        <v>0.39</v>
      </c>
      <c r="M212" s="154">
        <f t="shared" si="165"/>
        <v>0.39</v>
      </c>
      <c r="N212" s="154">
        <f t="shared" ref="N212:P212" si="166">IF(N$20, $H162, $H159)</f>
        <v>0.39</v>
      </c>
      <c r="O212" s="154">
        <f t="shared" si="166"/>
        <v>0.39</v>
      </c>
      <c r="P212" s="154">
        <f t="shared" si="166"/>
        <v>0.39</v>
      </c>
      <c r="Q212" s="154">
        <f t="shared" ref="Q212:S212" si="167">IF(Q$20, $H162, $H159)</f>
        <v>0.2881333333333333</v>
      </c>
      <c r="R212" s="154">
        <f t="shared" si="167"/>
        <v>0.39</v>
      </c>
      <c r="S212" s="154">
        <f t="shared" si="167"/>
        <v>0.39</v>
      </c>
      <c r="T212" s="154">
        <f t="shared" ref="T212:U212" si="168">IF(T$20, $H162, $H159)</f>
        <v>0.39</v>
      </c>
      <c r="U212" s="154">
        <f t="shared" si="168"/>
        <v>0.39</v>
      </c>
      <c r="V212" s="154">
        <f t="shared" ref="V212:W212" si="169">IF(V$20, $H162, $H159)</f>
        <v>0.39</v>
      </c>
      <c r="W212" s="154">
        <f t="shared" si="169"/>
        <v>0.39</v>
      </c>
      <c r="X212" s="154">
        <f t="shared" ref="X212:Y212" si="170">IF(X$20, $H162, $H159)</f>
        <v>0.39</v>
      </c>
      <c r="Y212" s="154">
        <f t="shared" si="170"/>
        <v>0.39</v>
      </c>
    </row>
    <row r="213" spans="3:27" x14ac:dyDescent="0.35">
      <c r="E213" s="29"/>
      <c r="F213" s="72" t="s">
        <v>466</v>
      </c>
      <c r="G213" s="28" t="s">
        <v>167</v>
      </c>
      <c r="H213" s="25"/>
      <c r="J213" s="145">
        <f t="shared" ref="J213:K213" si="171">IF(J$20, $H163, $H160)</f>
        <v>0.44</v>
      </c>
      <c r="K213" s="145">
        <f t="shared" si="171"/>
        <v>0.44</v>
      </c>
      <c r="L213" s="145">
        <f t="shared" ref="L213:M213" si="172">IF(L$20, $H163, $H160)</f>
        <v>0.44</v>
      </c>
      <c r="M213" s="145">
        <f t="shared" si="172"/>
        <v>0.44</v>
      </c>
      <c r="N213" s="145">
        <f t="shared" ref="N213:P213" si="173">IF(N$20, $H163, $H160)</f>
        <v>0.44</v>
      </c>
      <c r="O213" s="145">
        <f t="shared" si="173"/>
        <v>0.44</v>
      </c>
      <c r="P213" s="145">
        <f t="shared" si="173"/>
        <v>0.44</v>
      </c>
      <c r="Q213" s="145">
        <f t="shared" ref="Q213:S213" si="174">IF(Q$20, $H163, $H160)</f>
        <v>0.54186666666666672</v>
      </c>
      <c r="R213" s="145">
        <f t="shared" si="174"/>
        <v>0.44</v>
      </c>
      <c r="S213" s="145">
        <f t="shared" si="174"/>
        <v>0.44</v>
      </c>
      <c r="T213" s="145">
        <f t="shared" ref="T213:U213" si="175">IF(T$20, $H163, $H160)</f>
        <v>0.44</v>
      </c>
      <c r="U213" s="145">
        <f t="shared" si="175"/>
        <v>0.44</v>
      </c>
      <c r="V213" s="145">
        <f t="shared" ref="V213:W213" si="176">IF(V$20, $H163, $H160)</f>
        <v>0.44</v>
      </c>
      <c r="W213" s="145">
        <f t="shared" si="176"/>
        <v>0.44</v>
      </c>
      <c r="X213" s="145">
        <f t="shared" ref="X213:Y213" si="177">IF(X$20, $H163, $H160)</f>
        <v>0.44</v>
      </c>
      <c r="Y213" s="145">
        <f t="shared" si="177"/>
        <v>0.44</v>
      </c>
    </row>
    <row r="214" spans="3:27" x14ac:dyDescent="0.35">
      <c r="E214" s="29"/>
      <c r="F214" s="80" t="s">
        <v>257</v>
      </c>
      <c r="G214" s="67" t="s">
        <v>167</v>
      </c>
      <c r="H214" s="141"/>
      <c r="I214" s="37"/>
      <c r="J214" s="155">
        <f t="shared" ref="J214:K214" si="178">IF(J$20, $H164, $H161)</f>
        <v>0.17</v>
      </c>
      <c r="K214" s="155">
        <f t="shared" si="178"/>
        <v>0.17</v>
      </c>
      <c r="L214" s="155">
        <f t="shared" ref="L214:M214" si="179">IF(L$20, $H164, $H161)</f>
        <v>0.17</v>
      </c>
      <c r="M214" s="155">
        <f t="shared" si="179"/>
        <v>0.17</v>
      </c>
      <c r="N214" s="155">
        <f t="shared" ref="N214:P214" si="180">IF(N$20, $H164, $H161)</f>
        <v>0.17</v>
      </c>
      <c r="O214" s="155">
        <f t="shared" si="180"/>
        <v>0.17</v>
      </c>
      <c r="P214" s="155">
        <f t="shared" si="180"/>
        <v>0.17</v>
      </c>
      <c r="Q214" s="155">
        <f t="shared" ref="Q214:S214" si="181">IF(Q$20, $H164, $H161)</f>
        <v>0.17</v>
      </c>
      <c r="R214" s="155">
        <f t="shared" si="181"/>
        <v>0.17</v>
      </c>
      <c r="S214" s="155">
        <f t="shared" si="181"/>
        <v>0.17</v>
      </c>
      <c r="T214" s="155">
        <f t="shared" ref="T214:U214" si="182">IF(T$20, $H164, $H161)</f>
        <v>0.17</v>
      </c>
      <c r="U214" s="155">
        <f t="shared" si="182"/>
        <v>0.17</v>
      </c>
      <c r="V214" s="155">
        <f t="shared" ref="V214:W214" si="183">IF(V$20, $H164, $H161)</f>
        <v>0.17</v>
      </c>
      <c r="W214" s="155">
        <f t="shared" si="183"/>
        <v>0.17</v>
      </c>
      <c r="X214" s="155">
        <f t="shared" ref="X214:Y214" si="184">IF(X$20, $H164, $H161)</f>
        <v>0.17</v>
      </c>
      <c r="Y214" s="155">
        <f t="shared" si="184"/>
        <v>0.17</v>
      </c>
    </row>
    <row r="215" spans="3:27" x14ac:dyDescent="0.3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35">
      <c r="E216" s="32" t="s">
        <v>487</v>
      </c>
      <c r="G216" s="28"/>
    </row>
    <row r="217" spans="3:27" x14ac:dyDescent="0.35">
      <c r="E217" s="29"/>
      <c r="F217" s="78" t="s">
        <v>465</v>
      </c>
      <c r="G217" s="64" t="s">
        <v>167</v>
      </c>
      <c r="H217" s="107"/>
      <c r="I217" s="23"/>
      <c r="J217" s="154">
        <f t="shared" ref="J217:K217" si="185">IF(J$20, $H170, $H167)</f>
        <v>0.39</v>
      </c>
      <c r="K217" s="154">
        <f t="shared" si="185"/>
        <v>0.39</v>
      </c>
      <c r="L217" s="154">
        <f t="shared" ref="L217:M217" si="186">IF(L$20, $H170, $H167)</f>
        <v>0.39</v>
      </c>
      <c r="M217" s="154">
        <f t="shared" si="186"/>
        <v>0.39</v>
      </c>
      <c r="N217" s="154">
        <f t="shared" ref="N217:P217" si="187">IF(N$20, $H170, $H167)</f>
        <v>0.39</v>
      </c>
      <c r="O217" s="154">
        <f t="shared" si="187"/>
        <v>0.39</v>
      </c>
      <c r="P217" s="154">
        <f t="shared" si="187"/>
        <v>0.39</v>
      </c>
      <c r="Q217" s="154">
        <f t="shared" ref="Q217:S217" si="188">IF(Q$20, $H170, $H167)</f>
        <v>0.2881333333333333</v>
      </c>
      <c r="R217" s="154">
        <f t="shared" si="188"/>
        <v>0.39</v>
      </c>
      <c r="S217" s="154">
        <f t="shared" si="188"/>
        <v>0.39</v>
      </c>
      <c r="T217" s="154">
        <f t="shared" ref="T217:U217" si="189">IF(T$20, $H170, $H167)</f>
        <v>0.39</v>
      </c>
      <c r="U217" s="154">
        <f t="shared" si="189"/>
        <v>0.39</v>
      </c>
      <c r="V217" s="154">
        <f t="shared" ref="V217:W217" si="190">IF(V$20, $H170, $H167)</f>
        <v>0.39</v>
      </c>
      <c r="W217" s="154">
        <f t="shared" si="190"/>
        <v>0.39</v>
      </c>
      <c r="X217" s="154">
        <f t="shared" ref="X217:Y217" si="191">IF(X$20, $H170, $H167)</f>
        <v>0.39</v>
      </c>
      <c r="Y217" s="154">
        <f t="shared" si="191"/>
        <v>0.39</v>
      </c>
    </row>
    <row r="218" spans="3:27" x14ac:dyDescent="0.35">
      <c r="E218" s="29"/>
      <c r="F218" s="72" t="s">
        <v>466</v>
      </c>
      <c r="G218" s="28" t="s">
        <v>167</v>
      </c>
      <c r="H218" s="25"/>
      <c r="J218" s="145">
        <f t="shared" ref="J218:K218" si="192">IF(J$20, $H171, $H168)</f>
        <v>0.44</v>
      </c>
      <c r="K218" s="145">
        <f t="shared" si="192"/>
        <v>0.44</v>
      </c>
      <c r="L218" s="145">
        <f t="shared" ref="L218:M218" si="193">IF(L$20, $H171, $H168)</f>
        <v>0.44</v>
      </c>
      <c r="M218" s="145">
        <f t="shared" si="193"/>
        <v>0.44</v>
      </c>
      <c r="N218" s="145">
        <f t="shared" ref="N218:P218" si="194">IF(N$20, $H171, $H168)</f>
        <v>0.44</v>
      </c>
      <c r="O218" s="145">
        <f t="shared" si="194"/>
        <v>0.44</v>
      </c>
      <c r="P218" s="145">
        <f t="shared" si="194"/>
        <v>0.44</v>
      </c>
      <c r="Q218" s="145">
        <f t="shared" ref="Q218:S218" si="195">IF(Q$20, $H171, $H168)</f>
        <v>0.54186666666666672</v>
      </c>
      <c r="R218" s="145">
        <f t="shared" si="195"/>
        <v>0.44</v>
      </c>
      <c r="S218" s="145">
        <f t="shared" si="195"/>
        <v>0.44</v>
      </c>
      <c r="T218" s="145">
        <f t="shared" ref="T218:U218" si="196">IF(T$20, $H171, $H168)</f>
        <v>0.44</v>
      </c>
      <c r="U218" s="145">
        <f t="shared" si="196"/>
        <v>0.44</v>
      </c>
      <c r="V218" s="145">
        <f t="shared" ref="V218:W218" si="197">IF(V$20, $H171, $H168)</f>
        <v>0.44</v>
      </c>
      <c r="W218" s="145">
        <f t="shared" si="197"/>
        <v>0.44</v>
      </c>
      <c r="X218" s="145">
        <f t="shared" ref="X218:Y218" si="198">IF(X$20, $H171, $H168)</f>
        <v>0.44</v>
      </c>
      <c r="Y218" s="145">
        <f t="shared" si="198"/>
        <v>0.44</v>
      </c>
    </row>
    <row r="219" spans="3:27" x14ac:dyDescent="0.35">
      <c r="E219" s="29"/>
      <c r="F219" s="80" t="s">
        <v>257</v>
      </c>
      <c r="G219" s="67" t="s">
        <v>167</v>
      </c>
      <c r="H219" s="141"/>
      <c r="I219" s="37"/>
      <c r="J219" s="155">
        <f t="shared" ref="J219:K219" si="199">IF(J$20, $H172, $H169)</f>
        <v>0.17</v>
      </c>
      <c r="K219" s="155">
        <f t="shared" si="199"/>
        <v>0.17</v>
      </c>
      <c r="L219" s="155">
        <f t="shared" ref="L219:M219" si="200">IF(L$20, $H172, $H169)</f>
        <v>0.17</v>
      </c>
      <c r="M219" s="155">
        <f t="shared" si="200"/>
        <v>0.17</v>
      </c>
      <c r="N219" s="155">
        <f t="shared" ref="N219:P219" si="201">IF(N$20, $H172, $H169)</f>
        <v>0.17</v>
      </c>
      <c r="O219" s="155">
        <f t="shared" si="201"/>
        <v>0.17</v>
      </c>
      <c r="P219" s="155">
        <f t="shared" si="201"/>
        <v>0.17</v>
      </c>
      <c r="Q219" s="155">
        <f t="shared" ref="Q219:S219" si="202">IF(Q$20, $H172, $H169)</f>
        <v>0.17</v>
      </c>
      <c r="R219" s="155">
        <f t="shared" si="202"/>
        <v>0.17</v>
      </c>
      <c r="S219" s="155">
        <f t="shared" si="202"/>
        <v>0.17</v>
      </c>
      <c r="T219" s="155">
        <f t="shared" ref="T219:U219" si="203">IF(T$20, $H172, $H169)</f>
        <v>0.17</v>
      </c>
      <c r="U219" s="155">
        <f t="shared" si="203"/>
        <v>0.17</v>
      </c>
      <c r="V219" s="155">
        <f t="shared" ref="V219:W219" si="204">IF(V$20, $H172, $H169)</f>
        <v>0.17</v>
      </c>
      <c r="W219" s="155">
        <f t="shared" si="204"/>
        <v>0.17</v>
      </c>
      <c r="X219" s="155">
        <f t="shared" ref="X219:Y219" si="205">IF(X$20, $H172, $H169)</f>
        <v>0.17</v>
      </c>
      <c r="Y219" s="155">
        <f t="shared" si="205"/>
        <v>0.17</v>
      </c>
    </row>
    <row r="220" spans="3:27" x14ac:dyDescent="0.3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3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3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35">
      <c r="E223" s="32" t="s">
        <v>488</v>
      </c>
      <c r="G223" s="28"/>
    </row>
    <row r="224" spans="3:27" x14ac:dyDescent="0.35">
      <c r="F224" s="64" t="s">
        <v>465</v>
      </c>
      <c r="G224" s="64" t="s">
        <v>489</v>
      </c>
      <c r="H224" s="23"/>
      <c r="I224" s="23"/>
      <c r="J224" s="158">
        <f t="shared" ref="J224:Y224" si="206">1 / J24</f>
        <v>1.277139208173691E-3</v>
      </c>
      <c r="K224" s="158">
        <f t="shared" si="206"/>
        <v>1.277139208173691E-3</v>
      </c>
      <c r="L224" s="158">
        <f t="shared" si="206"/>
        <v>1.277139208173691E-3</v>
      </c>
      <c r="M224" s="158">
        <f t="shared" si="206"/>
        <v>1.277139208173691E-3</v>
      </c>
      <c r="N224" s="158">
        <f t="shared" si="206"/>
        <v>1.277139208173691E-3</v>
      </c>
      <c r="O224" s="158">
        <f t="shared" si="206"/>
        <v>1.277139208173691E-3</v>
      </c>
      <c r="P224" s="158">
        <f t="shared" si="206"/>
        <v>1.277139208173691E-3</v>
      </c>
      <c r="Q224" s="158">
        <f t="shared" si="206"/>
        <v>3.875968992248062E-3</v>
      </c>
      <c r="R224" s="158">
        <f t="shared" si="206"/>
        <v>1.277139208173691E-3</v>
      </c>
      <c r="S224" s="158">
        <f t="shared" si="206"/>
        <v>1.277139208173691E-3</v>
      </c>
      <c r="T224" s="158">
        <f t="shared" si="206"/>
        <v>1.277139208173691E-3</v>
      </c>
      <c r="U224" s="158">
        <f t="shared" si="206"/>
        <v>1.277139208173691E-3</v>
      </c>
      <c r="V224" s="158">
        <f t="shared" si="206"/>
        <v>1.277139208173691E-3</v>
      </c>
      <c r="W224" s="158">
        <f t="shared" si="206"/>
        <v>1.277139208173691E-3</v>
      </c>
      <c r="X224" s="158">
        <f t="shared" si="206"/>
        <v>1.277139208173691E-3</v>
      </c>
      <c r="Y224" s="158">
        <f t="shared" si="206"/>
        <v>1.277139208173691E-3</v>
      </c>
    </row>
    <row r="225" spans="5:25" x14ac:dyDescent="0.35">
      <c r="F225" s="28" t="s">
        <v>466</v>
      </c>
      <c r="G225" s="28" t="s">
        <v>489</v>
      </c>
      <c r="J225" s="89">
        <f t="shared" ref="J225:Y225" si="207">1 / J25</f>
        <v>2.7005130974885227E-4</v>
      </c>
      <c r="K225" s="89">
        <f t="shared" si="207"/>
        <v>2.7005130974885227E-4</v>
      </c>
      <c r="L225" s="89">
        <f t="shared" si="207"/>
        <v>2.7005130974885227E-4</v>
      </c>
      <c r="M225" s="89">
        <f t="shared" si="207"/>
        <v>2.7005130974885227E-4</v>
      </c>
      <c r="N225" s="89">
        <f t="shared" si="207"/>
        <v>2.7005130974885227E-4</v>
      </c>
      <c r="O225" s="89">
        <f t="shared" si="207"/>
        <v>2.7005130974885227E-4</v>
      </c>
      <c r="P225" s="89">
        <f t="shared" si="207"/>
        <v>2.7005130974885227E-4</v>
      </c>
      <c r="Q225" s="89">
        <f t="shared" si="207"/>
        <v>2.3651844843897824E-4</v>
      </c>
      <c r="R225" s="89">
        <f t="shared" si="207"/>
        <v>2.7005130974885227E-4</v>
      </c>
      <c r="S225" s="89">
        <f t="shared" si="207"/>
        <v>2.7005130974885227E-4</v>
      </c>
      <c r="T225" s="89">
        <f t="shared" si="207"/>
        <v>2.7005130974885227E-4</v>
      </c>
      <c r="U225" s="89">
        <f t="shared" si="207"/>
        <v>2.7005130974885227E-4</v>
      </c>
      <c r="V225" s="89">
        <f t="shared" si="207"/>
        <v>2.7005130974885227E-4</v>
      </c>
      <c r="W225" s="89">
        <f t="shared" si="207"/>
        <v>2.7005130974885227E-4</v>
      </c>
      <c r="X225" s="89">
        <f t="shared" si="207"/>
        <v>2.7005130974885227E-4</v>
      </c>
      <c r="Y225" s="89">
        <f t="shared" si="207"/>
        <v>2.7005130974885227E-4</v>
      </c>
    </row>
    <row r="226" spans="5:25" x14ac:dyDescent="0.35">
      <c r="F226" s="67" t="s">
        <v>257</v>
      </c>
      <c r="G226" s="67" t="s">
        <v>489</v>
      </c>
      <c r="H226" s="37"/>
      <c r="I226" s="37"/>
      <c r="J226" s="82">
        <f t="shared" ref="J226:Y226" si="208">1 / J26</f>
        <v>2.3397285914833881E-4</v>
      </c>
      <c r="K226" s="82">
        <f t="shared" si="208"/>
        <v>2.3397285914833881E-4</v>
      </c>
      <c r="L226" s="82">
        <f t="shared" si="208"/>
        <v>2.3397285914833881E-4</v>
      </c>
      <c r="M226" s="82">
        <f t="shared" si="208"/>
        <v>2.3397285914833881E-4</v>
      </c>
      <c r="N226" s="82">
        <f t="shared" si="208"/>
        <v>2.3397285914833881E-4</v>
      </c>
      <c r="O226" s="82">
        <f t="shared" si="208"/>
        <v>2.3397285914833881E-4</v>
      </c>
      <c r="P226" s="82">
        <f t="shared" si="208"/>
        <v>2.3397285914833881E-4</v>
      </c>
      <c r="Q226" s="82">
        <f t="shared" si="208"/>
        <v>2.3397285914833881E-4</v>
      </c>
      <c r="R226" s="82">
        <f t="shared" si="208"/>
        <v>2.3397285914833881E-4</v>
      </c>
      <c r="S226" s="82">
        <f t="shared" si="208"/>
        <v>2.3397285914833881E-4</v>
      </c>
      <c r="T226" s="82">
        <f t="shared" si="208"/>
        <v>2.3397285914833881E-4</v>
      </c>
      <c r="U226" s="82">
        <f t="shared" si="208"/>
        <v>2.3397285914833881E-4</v>
      </c>
      <c r="V226" s="82">
        <f t="shared" si="208"/>
        <v>2.3397285914833881E-4</v>
      </c>
      <c r="W226" s="82">
        <f t="shared" si="208"/>
        <v>2.3397285914833881E-4</v>
      </c>
      <c r="X226" s="82">
        <f t="shared" si="208"/>
        <v>2.3397285914833881E-4</v>
      </c>
      <c r="Y226" s="82">
        <f t="shared" si="208"/>
        <v>2.3397285914833881E-4</v>
      </c>
    </row>
    <row r="227" spans="5:25" x14ac:dyDescent="0.35">
      <c r="G227" s="28"/>
      <c r="J227" s="89"/>
      <c r="K227" s="89"/>
      <c r="L227" s="89"/>
      <c r="M227" s="89"/>
      <c r="N227" s="89"/>
      <c r="O227" s="89"/>
      <c r="P227" s="89"/>
      <c r="Q227" s="89"/>
      <c r="R227" s="89"/>
      <c r="S227" s="89"/>
      <c r="T227" s="89"/>
      <c r="U227" s="89"/>
      <c r="V227" s="89"/>
      <c r="W227" s="89"/>
      <c r="X227" s="89"/>
      <c r="Y227" s="89"/>
    </row>
    <row r="228" spans="5:25" x14ac:dyDescent="0.35">
      <c r="E228" s="32" t="s">
        <v>156</v>
      </c>
      <c r="G228" s="28"/>
      <c r="J228" s="89"/>
      <c r="K228" s="89"/>
      <c r="L228" s="89"/>
      <c r="M228" s="89"/>
      <c r="N228" s="89"/>
      <c r="O228" s="89"/>
      <c r="P228" s="89"/>
      <c r="Q228" s="89"/>
      <c r="R228" s="89"/>
      <c r="S228" s="89"/>
      <c r="T228" s="89"/>
      <c r="U228" s="89"/>
      <c r="V228" s="89"/>
      <c r="W228" s="89"/>
      <c r="X228" s="89"/>
      <c r="Y228" s="89"/>
    </row>
    <row r="229" spans="5:25" x14ac:dyDescent="0.35">
      <c r="F229" s="159" t="s">
        <v>191</v>
      </c>
      <c r="G229" s="64" t="s">
        <v>283</v>
      </c>
      <c r="H229" s="23"/>
      <c r="I229" s="23"/>
      <c r="J229" s="153">
        <f>J177 * J$224 * hours_in_year</f>
        <v>5.2168429118773947</v>
      </c>
      <c r="K229" s="153">
        <f t="shared" ref="K229:Y229" si="209">K177 * K$224 * hours_in_year</f>
        <v>5.2168429118773947</v>
      </c>
      <c r="L229" s="153">
        <f t="shared" si="209"/>
        <v>5.2168429118773947</v>
      </c>
      <c r="M229" s="153">
        <f t="shared" si="209"/>
        <v>5.2168429118773947</v>
      </c>
      <c r="N229" s="153">
        <f t="shared" si="209"/>
        <v>5.2168429118773947</v>
      </c>
      <c r="O229" s="153">
        <f t="shared" si="209"/>
        <v>5.2168429118773947</v>
      </c>
      <c r="P229" s="153">
        <f t="shared" si="209"/>
        <v>5.2168429118773947</v>
      </c>
      <c r="Q229" s="153">
        <f t="shared" si="209"/>
        <v>12.429240310077521</v>
      </c>
      <c r="R229" s="153">
        <f t="shared" si="209"/>
        <v>5.2168429118773947</v>
      </c>
      <c r="S229" s="153">
        <f t="shared" si="209"/>
        <v>5.2168429118773947</v>
      </c>
      <c r="T229" s="153">
        <f t="shared" si="209"/>
        <v>5.2168429118773947</v>
      </c>
      <c r="U229" s="153">
        <f t="shared" si="209"/>
        <v>5.2168429118773947</v>
      </c>
      <c r="V229" s="153">
        <f t="shared" si="209"/>
        <v>5.2168429118773947</v>
      </c>
      <c r="W229" s="153">
        <f t="shared" si="209"/>
        <v>5.2168429118773947</v>
      </c>
      <c r="X229" s="153">
        <f t="shared" si="209"/>
        <v>5.2168429118773947</v>
      </c>
      <c r="Y229" s="153">
        <f t="shared" si="209"/>
        <v>5.2168429118773947</v>
      </c>
    </row>
    <row r="230" spans="5:25" x14ac:dyDescent="0.35">
      <c r="F230" s="160" t="s">
        <v>192</v>
      </c>
      <c r="G230" s="28" t="s">
        <v>283</v>
      </c>
      <c r="J230" s="153">
        <f t="shared" ref="J230:Y230" si="210">J182 * J224 * hours_in_year</f>
        <v>0</v>
      </c>
      <c r="K230" s="153">
        <f t="shared" si="210"/>
        <v>0</v>
      </c>
      <c r="L230" s="153">
        <f t="shared" si="210"/>
        <v>0</v>
      </c>
      <c r="M230" s="153">
        <f t="shared" si="210"/>
        <v>0</v>
      </c>
      <c r="N230" s="153">
        <f t="shared" si="210"/>
        <v>0</v>
      </c>
      <c r="O230" s="153">
        <f t="shared" si="210"/>
        <v>0</v>
      </c>
      <c r="P230" s="153">
        <f t="shared" si="210"/>
        <v>0</v>
      </c>
      <c r="Q230" s="153">
        <f t="shared" si="210"/>
        <v>0</v>
      </c>
      <c r="R230" s="153">
        <f t="shared" si="210"/>
        <v>0</v>
      </c>
      <c r="S230" s="153">
        <f t="shared" si="210"/>
        <v>0</v>
      </c>
      <c r="T230" s="153">
        <f t="shared" si="210"/>
        <v>0</v>
      </c>
      <c r="U230" s="153">
        <f t="shared" si="210"/>
        <v>0</v>
      </c>
      <c r="V230" s="153">
        <f t="shared" si="210"/>
        <v>0</v>
      </c>
      <c r="W230" s="153">
        <f t="shared" si="210"/>
        <v>0</v>
      </c>
      <c r="X230" s="153">
        <f t="shared" si="210"/>
        <v>0</v>
      </c>
      <c r="Y230" s="153">
        <f t="shared" si="210"/>
        <v>0</v>
      </c>
    </row>
    <row r="231" spans="5:25" x14ac:dyDescent="0.35">
      <c r="F231" s="160" t="s">
        <v>193</v>
      </c>
      <c r="G231" s="28" t="s">
        <v>283</v>
      </c>
      <c r="J231" s="153">
        <f t="shared" ref="J231:Y231" si="211">J187 * J224 * hours_in_year</f>
        <v>0</v>
      </c>
      <c r="K231" s="153">
        <f t="shared" si="211"/>
        <v>0</v>
      </c>
      <c r="L231" s="153">
        <f t="shared" si="211"/>
        <v>0</v>
      </c>
      <c r="M231" s="153">
        <f t="shared" si="211"/>
        <v>0</v>
      </c>
      <c r="N231" s="153">
        <f t="shared" si="211"/>
        <v>0</v>
      </c>
      <c r="O231" s="153">
        <f t="shared" si="211"/>
        <v>0</v>
      </c>
      <c r="P231" s="153">
        <f t="shared" si="211"/>
        <v>0</v>
      </c>
      <c r="Q231" s="153">
        <f t="shared" si="211"/>
        <v>0</v>
      </c>
      <c r="R231" s="153">
        <f t="shared" si="211"/>
        <v>0</v>
      </c>
      <c r="S231" s="153">
        <f t="shared" si="211"/>
        <v>0</v>
      </c>
      <c r="T231" s="153">
        <f t="shared" si="211"/>
        <v>0</v>
      </c>
      <c r="U231" s="153">
        <f t="shared" si="211"/>
        <v>0</v>
      </c>
      <c r="V231" s="153">
        <f t="shared" si="211"/>
        <v>0</v>
      </c>
      <c r="W231" s="153">
        <f t="shared" si="211"/>
        <v>0</v>
      </c>
      <c r="X231" s="153">
        <f t="shared" si="211"/>
        <v>0</v>
      </c>
      <c r="Y231" s="153">
        <f t="shared" si="211"/>
        <v>0</v>
      </c>
    </row>
    <row r="232" spans="5:25" x14ac:dyDescent="0.35">
      <c r="F232" s="160" t="s">
        <v>194</v>
      </c>
      <c r="G232" s="28" t="s">
        <v>283</v>
      </c>
      <c r="J232" s="153">
        <f t="shared" ref="J232:Y232" si="212">J192 * J224 * hours_in_year</f>
        <v>4.9226053639846752</v>
      </c>
      <c r="K232" s="153">
        <f t="shared" si="212"/>
        <v>4.9226053639846752</v>
      </c>
      <c r="L232" s="153">
        <f t="shared" si="212"/>
        <v>4.9226053639846752</v>
      </c>
      <c r="M232" s="153">
        <f t="shared" si="212"/>
        <v>4.9226053639846752</v>
      </c>
      <c r="N232" s="153">
        <f t="shared" si="212"/>
        <v>4.9226053639846752</v>
      </c>
      <c r="O232" s="153">
        <f t="shared" si="212"/>
        <v>4.9226053639846752</v>
      </c>
      <c r="P232" s="153">
        <f t="shared" si="212"/>
        <v>4.9226053639846752</v>
      </c>
      <c r="Q232" s="153">
        <f t="shared" si="212"/>
        <v>11.197860465116278</v>
      </c>
      <c r="R232" s="153">
        <f t="shared" si="212"/>
        <v>4.9226053639846752</v>
      </c>
      <c r="S232" s="153">
        <f t="shared" si="212"/>
        <v>4.9226053639846752</v>
      </c>
      <c r="T232" s="153">
        <f t="shared" si="212"/>
        <v>4.9226053639846752</v>
      </c>
      <c r="U232" s="153">
        <f t="shared" si="212"/>
        <v>4.9226053639846752</v>
      </c>
      <c r="V232" s="153">
        <f t="shared" si="212"/>
        <v>4.9226053639846752</v>
      </c>
      <c r="W232" s="153">
        <f t="shared" si="212"/>
        <v>4.9226053639846752</v>
      </c>
      <c r="X232" s="153">
        <f t="shared" si="212"/>
        <v>4.9226053639846752</v>
      </c>
      <c r="Y232" s="153">
        <f t="shared" si="212"/>
        <v>4.9226053639846752</v>
      </c>
    </row>
    <row r="233" spans="5:25" x14ac:dyDescent="0.35">
      <c r="F233" s="160" t="s">
        <v>195</v>
      </c>
      <c r="G233" s="28" t="s">
        <v>283</v>
      </c>
      <c r="J233" s="153">
        <f t="shared" ref="J233:Y233" si="213">J197 * J224 * hours_in_year</f>
        <v>4.9226053639846752</v>
      </c>
      <c r="K233" s="153">
        <f t="shared" si="213"/>
        <v>4.9226053639846752</v>
      </c>
      <c r="L233" s="153">
        <f t="shared" si="213"/>
        <v>4.9226053639846752</v>
      </c>
      <c r="M233" s="153">
        <f t="shared" si="213"/>
        <v>4.9226053639846752</v>
      </c>
      <c r="N233" s="153">
        <f t="shared" si="213"/>
        <v>4.9226053639846752</v>
      </c>
      <c r="O233" s="153">
        <f t="shared" si="213"/>
        <v>4.9226053639846752</v>
      </c>
      <c r="P233" s="153">
        <f t="shared" si="213"/>
        <v>4.9226053639846752</v>
      </c>
      <c r="Q233" s="153">
        <f t="shared" si="213"/>
        <v>11.197860465116278</v>
      </c>
      <c r="R233" s="153">
        <f t="shared" si="213"/>
        <v>4.9226053639846752</v>
      </c>
      <c r="S233" s="153">
        <f t="shared" si="213"/>
        <v>4.9226053639846752</v>
      </c>
      <c r="T233" s="153">
        <f t="shared" si="213"/>
        <v>4.9226053639846752</v>
      </c>
      <c r="U233" s="153">
        <f t="shared" si="213"/>
        <v>4.9226053639846752</v>
      </c>
      <c r="V233" s="153">
        <f t="shared" si="213"/>
        <v>4.9226053639846752</v>
      </c>
      <c r="W233" s="153">
        <f t="shared" si="213"/>
        <v>4.9226053639846752</v>
      </c>
      <c r="X233" s="153">
        <f t="shared" si="213"/>
        <v>4.9226053639846752</v>
      </c>
      <c r="Y233" s="153">
        <f t="shared" si="213"/>
        <v>4.9226053639846752</v>
      </c>
    </row>
    <row r="234" spans="5:25" x14ac:dyDescent="0.35">
      <c r="F234" s="160" t="s">
        <v>196</v>
      </c>
      <c r="G234" s="28" t="s">
        <v>283</v>
      </c>
      <c r="J234" s="153">
        <f t="shared" ref="J234:Y234" si="214">J202 * J224 * hours_in_year</f>
        <v>0</v>
      </c>
      <c r="K234" s="153">
        <f t="shared" si="214"/>
        <v>0</v>
      </c>
      <c r="L234" s="153">
        <f t="shared" si="214"/>
        <v>0</v>
      </c>
      <c r="M234" s="153">
        <f t="shared" si="214"/>
        <v>0</v>
      </c>
      <c r="N234" s="153">
        <f t="shared" si="214"/>
        <v>0</v>
      </c>
      <c r="O234" s="153">
        <f t="shared" si="214"/>
        <v>0</v>
      </c>
      <c r="P234" s="153">
        <f t="shared" si="214"/>
        <v>0</v>
      </c>
      <c r="Q234" s="153">
        <f t="shared" si="214"/>
        <v>0</v>
      </c>
      <c r="R234" s="153">
        <f t="shared" si="214"/>
        <v>0</v>
      </c>
      <c r="S234" s="153">
        <f t="shared" si="214"/>
        <v>0</v>
      </c>
      <c r="T234" s="153">
        <f t="shared" si="214"/>
        <v>0</v>
      </c>
      <c r="U234" s="153">
        <f t="shared" si="214"/>
        <v>0</v>
      </c>
      <c r="V234" s="153">
        <f t="shared" si="214"/>
        <v>0</v>
      </c>
      <c r="W234" s="153">
        <f t="shared" si="214"/>
        <v>0</v>
      </c>
      <c r="X234" s="153">
        <f t="shared" si="214"/>
        <v>0</v>
      </c>
      <c r="Y234" s="153">
        <f t="shared" si="214"/>
        <v>0</v>
      </c>
    </row>
    <row r="235" spans="5:25" x14ac:dyDescent="0.35">
      <c r="F235" s="160" t="s">
        <v>197</v>
      </c>
      <c r="G235" s="28" t="s">
        <v>283</v>
      </c>
      <c r="J235" s="153">
        <f t="shared" ref="J235:Y235" si="215">J207 * J224 * hours_in_year</f>
        <v>4.3632183908045983</v>
      </c>
      <c r="K235" s="153">
        <f t="shared" si="215"/>
        <v>4.3632183908045983</v>
      </c>
      <c r="L235" s="153">
        <f t="shared" si="215"/>
        <v>4.3632183908045983</v>
      </c>
      <c r="M235" s="153">
        <f t="shared" si="215"/>
        <v>4.3632183908045983</v>
      </c>
      <c r="N235" s="153">
        <f t="shared" si="215"/>
        <v>4.3632183908045983</v>
      </c>
      <c r="O235" s="153">
        <f t="shared" si="215"/>
        <v>4.3632183908045983</v>
      </c>
      <c r="P235" s="153">
        <f t="shared" si="215"/>
        <v>4.3632183908045983</v>
      </c>
      <c r="Q235" s="153">
        <f t="shared" si="215"/>
        <v>9.7831317829457358</v>
      </c>
      <c r="R235" s="153">
        <f t="shared" si="215"/>
        <v>4.3632183908045983</v>
      </c>
      <c r="S235" s="153">
        <f t="shared" si="215"/>
        <v>4.3632183908045983</v>
      </c>
      <c r="T235" s="153">
        <f t="shared" si="215"/>
        <v>4.3632183908045983</v>
      </c>
      <c r="U235" s="153">
        <f t="shared" si="215"/>
        <v>4.3632183908045983</v>
      </c>
      <c r="V235" s="153">
        <f t="shared" si="215"/>
        <v>4.3632183908045983</v>
      </c>
      <c r="W235" s="153">
        <f t="shared" si="215"/>
        <v>4.3632183908045983</v>
      </c>
      <c r="X235" s="153">
        <f t="shared" si="215"/>
        <v>4.3632183908045983</v>
      </c>
      <c r="Y235" s="153">
        <f t="shared" si="215"/>
        <v>4.3632183908045983</v>
      </c>
    </row>
    <row r="236" spans="5:25" x14ac:dyDescent="0.35">
      <c r="F236" s="160" t="s">
        <v>198</v>
      </c>
      <c r="G236" s="28" t="s">
        <v>283</v>
      </c>
      <c r="J236" s="153">
        <f t="shared" ref="J236:Y236" si="216">J212 * J224 * hours_in_year</f>
        <v>4.3632183908045983</v>
      </c>
      <c r="K236" s="153">
        <f t="shared" si="216"/>
        <v>4.3632183908045983</v>
      </c>
      <c r="L236" s="153">
        <f t="shared" si="216"/>
        <v>4.3632183908045983</v>
      </c>
      <c r="M236" s="153">
        <f t="shared" si="216"/>
        <v>4.3632183908045983</v>
      </c>
      <c r="N236" s="153">
        <f t="shared" si="216"/>
        <v>4.3632183908045983</v>
      </c>
      <c r="O236" s="153">
        <f t="shared" si="216"/>
        <v>4.3632183908045983</v>
      </c>
      <c r="P236" s="153">
        <f t="shared" si="216"/>
        <v>4.3632183908045983</v>
      </c>
      <c r="Q236" s="153">
        <f t="shared" si="216"/>
        <v>9.7831317829457358</v>
      </c>
      <c r="R236" s="153">
        <f t="shared" si="216"/>
        <v>4.3632183908045983</v>
      </c>
      <c r="S236" s="153">
        <f t="shared" si="216"/>
        <v>4.3632183908045983</v>
      </c>
      <c r="T236" s="153">
        <f t="shared" si="216"/>
        <v>4.3632183908045983</v>
      </c>
      <c r="U236" s="153">
        <f t="shared" si="216"/>
        <v>4.3632183908045983</v>
      </c>
      <c r="V236" s="153">
        <f t="shared" si="216"/>
        <v>4.3632183908045983</v>
      </c>
      <c r="W236" s="153">
        <f t="shared" si="216"/>
        <v>4.3632183908045983</v>
      </c>
      <c r="X236" s="153">
        <f t="shared" si="216"/>
        <v>4.3632183908045983</v>
      </c>
      <c r="Y236" s="153">
        <f t="shared" si="216"/>
        <v>4.3632183908045983</v>
      </c>
    </row>
    <row r="237" spans="5:25" x14ac:dyDescent="0.35">
      <c r="F237" s="161" t="s">
        <v>199</v>
      </c>
      <c r="G237" s="67" t="s">
        <v>283</v>
      </c>
      <c r="H237" s="37"/>
      <c r="I237" s="37"/>
      <c r="J237" s="153">
        <f t="shared" ref="J237:Y237" si="217">J217 * J224 * hours_in_year</f>
        <v>4.3632183908045983</v>
      </c>
      <c r="K237" s="153">
        <f t="shared" si="217"/>
        <v>4.3632183908045983</v>
      </c>
      <c r="L237" s="153">
        <f t="shared" si="217"/>
        <v>4.3632183908045983</v>
      </c>
      <c r="M237" s="153">
        <f t="shared" si="217"/>
        <v>4.3632183908045983</v>
      </c>
      <c r="N237" s="153">
        <f t="shared" si="217"/>
        <v>4.3632183908045983</v>
      </c>
      <c r="O237" s="153">
        <f t="shared" si="217"/>
        <v>4.3632183908045983</v>
      </c>
      <c r="P237" s="153">
        <f t="shared" si="217"/>
        <v>4.3632183908045983</v>
      </c>
      <c r="Q237" s="153">
        <f t="shared" si="217"/>
        <v>9.7831317829457358</v>
      </c>
      <c r="R237" s="153">
        <f t="shared" si="217"/>
        <v>4.3632183908045983</v>
      </c>
      <c r="S237" s="153">
        <f t="shared" si="217"/>
        <v>4.3632183908045983</v>
      </c>
      <c r="T237" s="153">
        <f t="shared" si="217"/>
        <v>4.3632183908045983</v>
      </c>
      <c r="U237" s="153">
        <f t="shared" si="217"/>
        <v>4.3632183908045983</v>
      </c>
      <c r="V237" s="153">
        <f t="shared" si="217"/>
        <v>4.3632183908045983</v>
      </c>
      <c r="W237" s="153">
        <f t="shared" si="217"/>
        <v>4.3632183908045983</v>
      </c>
      <c r="X237" s="153">
        <f t="shared" si="217"/>
        <v>4.3632183908045983</v>
      </c>
      <c r="Y237" s="153">
        <f t="shared" si="217"/>
        <v>4.3632183908045983</v>
      </c>
    </row>
    <row r="238" spans="5:25" x14ac:dyDescent="0.35">
      <c r="G238" s="28"/>
      <c r="J238" s="98"/>
      <c r="K238" s="98"/>
      <c r="L238" s="98"/>
      <c r="M238" s="98"/>
      <c r="N238" s="98"/>
      <c r="O238" s="98"/>
      <c r="P238" s="98"/>
      <c r="Q238" s="98"/>
      <c r="R238" s="98"/>
      <c r="S238" s="98"/>
      <c r="T238" s="98"/>
      <c r="U238" s="98"/>
      <c r="V238" s="98"/>
      <c r="W238" s="98"/>
      <c r="X238" s="98"/>
      <c r="Y238" s="98"/>
    </row>
    <row r="239" spans="5:25" x14ac:dyDescent="0.35">
      <c r="E239" s="32" t="s">
        <v>157</v>
      </c>
      <c r="G239" s="28"/>
      <c r="J239" s="89"/>
      <c r="K239" s="89"/>
      <c r="L239" s="89"/>
      <c r="M239" s="89"/>
      <c r="N239" s="89"/>
      <c r="O239" s="89"/>
      <c r="P239" s="89"/>
      <c r="Q239" s="89"/>
      <c r="R239" s="89"/>
      <c r="S239" s="89"/>
      <c r="T239" s="89"/>
      <c r="U239" s="89"/>
      <c r="V239" s="89"/>
      <c r="W239" s="89"/>
      <c r="X239" s="89"/>
      <c r="Y239" s="89"/>
    </row>
    <row r="240" spans="5:25" x14ac:dyDescent="0.35">
      <c r="F240" s="64" t="s">
        <v>191</v>
      </c>
      <c r="G240" s="64" t="s">
        <v>283</v>
      </c>
      <c r="H240" s="23"/>
      <c r="I240" s="23"/>
      <c r="J240" s="153">
        <f t="shared" ref="J240:Y240" si="218">J178 * J225 * hours_in_year</f>
        <v>0.84264434242506081</v>
      </c>
      <c r="K240" s="153">
        <f t="shared" si="218"/>
        <v>0.84264434242506081</v>
      </c>
      <c r="L240" s="153">
        <f t="shared" si="218"/>
        <v>0.84264434242506081</v>
      </c>
      <c r="M240" s="153">
        <f t="shared" si="218"/>
        <v>0.84264434242506081</v>
      </c>
      <c r="N240" s="153">
        <f t="shared" si="218"/>
        <v>0.84264434242506081</v>
      </c>
      <c r="O240" s="153">
        <f t="shared" si="218"/>
        <v>0.84264434242506081</v>
      </c>
      <c r="P240" s="153">
        <f t="shared" si="218"/>
        <v>0.84264434242506081</v>
      </c>
      <c r="Q240" s="153">
        <f t="shared" si="218"/>
        <v>0.94568495742667924</v>
      </c>
      <c r="R240" s="153">
        <f t="shared" si="218"/>
        <v>0.84264434242506081</v>
      </c>
      <c r="S240" s="153">
        <f t="shared" si="218"/>
        <v>0.84264434242506081</v>
      </c>
      <c r="T240" s="153">
        <f t="shared" si="218"/>
        <v>0.84264434242506081</v>
      </c>
      <c r="U240" s="153">
        <f t="shared" si="218"/>
        <v>0.84264434242506081</v>
      </c>
      <c r="V240" s="153">
        <f t="shared" si="218"/>
        <v>0.84264434242506081</v>
      </c>
      <c r="W240" s="153">
        <f t="shared" si="218"/>
        <v>0.84264434242506081</v>
      </c>
      <c r="X240" s="153">
        <f t="shared" si="218"/>
        <v>0.84264434242506081</v>
      </c>
      <c r="Y240" s="153">
        <f t="shared" si="218"/>
        <v>0.84264434242506081</v>
      </c>
    </row>
    <row r="241" spans="5:25" x14ac:dyDescent="0.35">
      <c r="F241" s="28" t="s">
        <v>192</v>
      </c>
      <c r="G241" s="28" t="s">
        <v>283</v>
      </c>
      <c r="J241" s="153">
        <f t="shared" ref="J241:Y241" si="219">J183 * J225 * hours_in_year</f>
        <v>0</v>
      </c>
      <c r="K241" s="153">
        <f t="shared" si="219"/>
        <v>0</v>
      </c>
      <c r="L241" s="153">
        <f t="shared" si="219"/>
        <v>0</v>
      </c>
      <c r="M241" s="153">
        <f t="shared" si="219"/>
        <v>0</v>
      </c>
      <c r="N241" s="153">
        <f t="shared" si="219"/>
        <v>0</v>
      </c>
      <c r="O241" s="153">
        <f t="shared" si="219"/>
        <v>0</v>
      </c>
      <c r="P241" s="153">
        <f t="shared" si="219"/>
        <v>0</v>
      </c>
      <c r="Q241" s="153">
        <f t="shared" si="219"/>
        <v>0</v>
      </c>
      <c r="R241" s="153">
        <f t="shared" si="219"/>
        <v>0</v>
      </c>
      <c r="S241" s="153">
        <f t="shared" si="219"/>
        <v>0</v>
      </c>
      <c r="T241" s="153">
        <f t="shared" si="219"/>
        <v>0</v>
      </c>
      <c r="U241" s="153">
        <f t="shared" si="219"/>
        <v>0</v>
      </c>
      <c r="V241" s="153">
        <f t="shared" si="219"/>
        <v>0</v>
      </c>
      <c r="W241" s="153">
        <f t="shared" si="219"/>
        <v>0</v>
      </c>
      <c r="X241" s="153">
        <f t="shared" si="219"/>
        <v>0</v>
      </c>
      <c r="Y241" s="153">
        <f t="shared" si="219"/>
        <v>0</v>
      </c>
    </row>
    <row r="242" spans="5:25" x14ac:dyDescent="0.35">
      <c r="F242" s="28" t="s">
        <v>193</v>
      </c>
      <c r="G242" s="28" t="s">
        <v>283</v>
      </c>
      <c r="J242" s="153">
        <f t="shared" ref="J242:Y242" si="220">J188 * J225 * hours_in_year</f>
        <v>0</v>
      </c>
      <c r="K242" s="153">
        <f t="shared" si="220"/>
        <v>0</v>
      </c>
      <c r="L242" s="153">
        <f t="shared" si="220"/>
        <v>0</v>
      </c>
      <c r="M242" s="153">
        <f t="shared" si="220"/>
        <v>0</v>
      </c>
      <c r="N242" s="153">
        <f t="shared" si="220"/>
        <v>0</v>
      </c>
      <c r="O242" s="153">
        <f t="shared" si="220"/>
        <v>0</v>
      </c>
      <c r="P242" s="153">
        <f t="shared" si="220"/>
        <v>0</v>
      </c>
      <c r="Q242" s="153">
        <f t="shared" si="220"/>
        <v>0</v>
      </c>
      <c r="R242" s="153">
        <f t="shared" si="220"/>
        <v>0</v>
      </c>
      <c r="S242" s="153">
        <f t="shared" si="220"/>
        <v>0</v>
      </c>
      <c r="T242" s="153">
        <f t="shared" si="220"/>
        <v>0</v>
      </c>
      <c r="U242" s="153">
        <f t="shared" si="220"/>
        <v>0</v>
      </c>
      <c r="V242" s="153">
        <f t="shared" si="220"/>
        <v>0</v>
      </c>
      <c r="W242" s="153">
        <f t="shared" si="220"/>
        <v>0</v>
      </c>
      <c r="X242" s="153">
        <f t="shared" si="220"/>
        <v>0</v>
      </c>
      <c r="Y242" s="153">
        <f t="shared" si="220"/>
        <v>0</v>
      </c>
    </row>
    <row r="243" spans="5:25" x14ac:dyDescent="0.35">
      <c r="F243" s="28" t="s">
        <v>194</v>
      </c>
      <c r="G243" s="28" t="s">
        <v>283</v>
      </c>
      <c r="J243" s="153">
        <f t="shared" ref="J243:Y243" si="221">J193 * J225 * hours_in_year</f>
        <v>0.96991628409397779</v>
      </c>
      <c r="K243" s="153">
        <f t="shared" si="221"/>
        <v>0.96991628409397779</v>
      </c>
      <c r="L243" s="153">
        <f t="shared" si="221"/>
        <v>0.96991628409397779</v>
      </c>
      <c r="M243" s="153">
        <f t="shared" si="221"/>
        <v>0.96991628409397779</v>
      </c>
      <c r="N243" s="153">
        <f t="shared" si="221"/>
        <v>0.96991628409397779</v>
      </c>
      <c r="O243" s="153">
        <f t="shared" si="221"/>
        <v>0.96991628409397779</v>
      </c>
      <c r="P243" s="153">
        <f t="shared" si="221"/>
        <v>0.96991628409397779</v>
      </c>
      <c r="Q243" s="153">
        <f t="shared" si="221"/>
        <v>1.0778032166508988</v>
      </c>
      <c r="R243" s="153">
        <f t="shared" si="221"/>
        <v>0.96991628409397779</v>
      </c>
      <c r="S243" s="153">
        <f t="shared" si="221"/>
        <v>0.96991628409397779</v>
      </c>
      <c r="T243" s="153">
        <f t="shared" si="221"/>
        <v>0.96991628409397779</v>
      </c>
      <c r="U243" s="153">
        <f t="shared" si="221"/>
        <v>0.96991628409397779</v>
      </c>
      <c r="V243" s="153">
        <f t="shared" si="221"/>
        <v>0.96991628409397779</v>
      </c>
      <c r="W243" s="153">
        <f t="shared" si="221"/>
        <v>0.96991628409397779</v>
      </c>
      <c r="X243" s="153">
        <f t="shared" si="221"/>
        <v>0.96991628409397779</v>
      </c>
      <c r="Y243" s="153">
        <f t="shared" si="221"/>
        <v>0.96991628409397779</v>
      </c>
    </row>
    <row r="244" spans="5:25" x14ac:dyDescent="0.35">
      <c r="F244" s="28" t="s">
        <v>195</v>
      </c>
      <c r="G244" s="28" t="s">
        <v>283</v>
      </c>
      <c r="J244" s="153">
        <f t="shared" ref="J244:Y244" si="222">J198 * J225 * hours_in_year</f>
        <v>0.96991628409397779</v>
      </c>
      <c r="K244" s="153">
        <f t="shared" si="222"/>
        <v>0.96991628409397779</v>
      </c>
      <c r="L244" s="153">
        <f t="shared" si="222"/>
        <v>0.96991628409397779</v>
      </c>
      <c r="M244" s="153">
        <f t="shared" si="222"/>
        <v>0.96991628409397779</v>
      </c>
      <c r="N244" s="153">
        <f t="shared" si="222"/>
        <v>0.96991628409397779</v>
      </c>
      <c r="O244" s="153">
        <f t="shared" si="222"/>
        <v>0.96991628409397779</v>
      </c>
      <c r="P244" s="153">
        <f t="shared" si="222"/>
        <v>0.96991628409397779</v>
      </c>
      <c r="Q244" s="153">
        <f t="shared" si="222"/>
        <v>1.0778032166508988</v>
      </c>
      <c r="R244" s="153">
        <f t="shared" si="222"/>
        <v>0.96991628409397779</v>
      </c>
      <c r="S244" s="153">
        <f t="shared" si="222"/>
        <v>0.96991628409397779</v>
      </c>
      <c r="T244" s="153">
        <f t="shared" si="222"/>
        <v>0.96991628409397779</v>
      </c>
      <c r="U244" s="153">
        <f t="shared" si="222"/>
        <v>0.96991628409397779</v>
      </c>
      <c r="V244" s="153">
        <f t="shared" si="222"/>
        <v>0.96991628409397779</v>
      </c>
      <c r="W244" s="153">
        <f t="shared" si="222"/>
        <v>0.96991628409397779</v>
      </c>
      <c r="X244" s="153">
        <f t="shared" si="222"/>
        <v>0.96991628409397779</v>
      </c>
      <c r="Y244" s="153">
        <f t="shared" si="222"/>
        <v>0.96991628409397779</v>
      </c>
    </row>
    <row r="245" spans="5:25" x14ac:dyDescent="0.35">
      <c r="F245" s="28" t="s">
        <v>196</v>
      </c>
      <c r="G245" s="28" t="s">
        <v>283</v>
      </c>
      <c r="J245" s="153">
        <f t="shared" ref="J245:Y245" si="223">J203 * J225 * hours_in_year</f>
        <v>0</v>
      </c>
      <c r="K245" s="153">
        <f t="shared" si="223"/>
        <v>0</v>
      </c>
      <c r="L245" s="153">
        <f t="shared" si="223"/>
        <v>0</v>
      </c>
      <c r="M245" s="153">
        <f t="shared" si="223"/>
        <v>0</v>
      </c>
      <c r="N245" s="153">
        <f t="shared" si="223"/>
        <v>0</v>
      </c>
      <c r="O245" s="153">
        <f t="shared" si="223"/>
        <v>0</v>
      </c>
      <c r="P245" s="153">
        <f t="shared" si="223"/>
        <v>0</v>
      </c>
      <c r="Q245" s="153">
        <f t="shared" si="223"/>
        <v>0</v>
      </c>
      <c r="R245" s="153">
        <f t="shared" si="223"/>
        <v>0</v>
      </c>
      <c r="S245" s="153">
        <f t="shared" si="223"/>
        <v>0</v>
      </c>
      <c r="T245" s="153">
        <f t="shared" si="223"/>
        <v>0</v>
      </c>
      <c r="U245" s="153">
        <f t="shared" si="223"/>
        <v>0</v>
      </c>
      <c r="V245" s="153">
        <f t="shared" si="223"/>
        <v>0</v>
      </c>
      <c r="W245" s="153">
        <f t="shared" si="223"/>
        <v>0</v>
      </c>
      <c r="X245" s="153">
        <f t="shared" si="223"/>
        <v>0</v>
      </c>
      <c r="Y245" s="153">
        <f t="shared" si="223"/>
        <v>0</v>
      </c>
    </row>
    <row r="246" spans="5:25" x14ac:dyDescent="0.35">
      <c r="F246" s="28" t="s">
        <v>197</v>
      </c>
      <c r="G246" s="28" t="s">
        <v>283</v>
      </c>
      <c r="J246" s="153">
        <f t="shared" ref="J246:Y246" si="224">J208 * J225 * hours_in_year</f>
        <v>1.0408857682959762</v>
      </c>
      <c r="K246" s="153">
        <f t="shared" si="224"/>
        <v>1.0408857682959762</v>
      </c>
      <c r="L246" s="153">
        <f t="shared" si="224"/>
        <v>1.0408857682959762</v>
      </c>
      <c r="M246" s="153">
        <f t="shared" si="224"/>
        <v>1.0408857682959762</v>
      </c>
      <c r="N246" s="153">
        <f t="shared" si="224"/>
        <v>1.0408857682959762</v>
      </c>
      <c r="O246" s="153">
        <f t="shared" si="224"/>
        <v>1.0408857682959762</v>
      </c>
      <c r="P246" s="153">
        <f t="shared" si="224"/>
        <v>1.0408857682959762</v>
      </c>
      <c r="Q246" s="153">
        <f t="shared" si="224"/>
        <v>1.1226944181646168</v>
      </c>
      <c r="R246" s="153">
        <f t="shared" si="224"/>
        <v>1.0408857682959762</v>
      </c>
      <c r="S246" s="153">
        <f t="shared" si="224"/>
        <v>1.0408857682959762</v>
      </c>
      <c r="T246" s="153">
        <f t="shared" si="224"/>
        <v>1.0408857682959762</v>
      </c>
      <c r="U246" s="153">
        <f t="shared" si="224"/>
        <v>1.0408857682959762</v>
      </c>
      <c r="V246" s="153">
        <f t="shared" si="224"/>
        <v>1.0408857682959762</v>
      </c>
      <c r="W246" s="153">
        <f t="shared" si="224"/>
        <v>1.0408857682959762</v>
      </c>
      <c r="X246" s="153">
        <f t="shared" si="224"/>
        <v>1.0408857682959762</v>
      </c>
      <c r="Y246" s="153">
        <f t="shared" si="224"/>
        <v>1.0408857682959762</v>
      </c>
    </row>
    <row r="247" spans="5:25" x14ac:dyDescent="0.35">
      <c r="F247" s="28" t="s">
        <v>198</v>
      </c>
      <c r="G247" s="28" t="s">
        <v>283</v>
      </c>
      <c r="J247" s="153">
        <f t="shared" ref="J247:Y247" si="225">J213 * J225 * hours_in_year</f>
        <v>1.0408857682959762</v>
      </c>
      <c r="K247" s="153">
        <f t="shared" si="225"/>
        <v>1.0408857682959762</v>
      </c>
      <c r="L247" s="153">
        <f t="shared" si="225"/>
        <v>1.0408857682959762</v>
      </c>
      <c r="M247" s="153">
        <f t="shared" si="225"/>
        <v>1.0408857682959762</v>
      </c>
      <c r="N247" s="153">
        <f t="shared" si="225"/>
        <v>1.0408857682959762</v>
      </c>
      <c r="O247" s="153">
        <f t="shared" si="225"/>
        <v>1.0408857682959762</v>
      </c>
      <c r="P247" s="153">
        <f t="shared" si="225"/>
        <v>1.0408857682959762</v>
      </c>
      <c r="Q247" s="153">
        <f t="shared" si="225"/>
        <v>1.1226944181646168</v>
      </c>
      <c r="R247" s="153">
        <f t="shared" si="225"/>
        <v>1.0408857682959762</v>
      </c>
      <c r="S247" s="153">
        <f t="shared" si="225"/>
        <v>1.0408857682959762</v>
      </c>
      <c r="T247" s="153">
        <f t="shared" si="225"/>
        <v>1.0408857682959762</v>
      </c>
      <c r="U247" s="153">
        <f t="shared" si="225"/>
        <v>1.0408857682959762</v>
      </c>
      <c r="V247" s="153">
        <f t="shared" si="225"/>
        <v>1.0408857682959762</v>
      </c>
      <c r="W247" s="153">
        <f t="shared" si="225"/>
        <v>1.0408857682959762</v>
      </c>
      <c r="X247" s="153">
        <f t="shared" si="225"/>
        <v>1.0408857682959762</v>
      </c>
      <c r="Y247" s="153">
        <f t="shared" si="225"/>
        <v>1.0408857682959762</v>
      </c>
    </row>
    <row r="248" spans="5:25" x14ac:dyDescent="0.35">
      <c r="F248" s="67" t="s">
        <v>199</v>
      </c>
      <c r="G248" s="67" t="s">
        <v>283</v>
      </c>
      <c r="H248" s="37"/>
      <c r="I248" s="37"/>
      <c r="J248" s="153">
        <f t="shared" ref="J248:Y248" si="226">J218 * J225 * hours_in_year</f>
        <v>1.0408857682959762</v>
      </c>
      <c r="K248" s="153">
        <f t="shared" si="226"/>
        <v>1.0408857682959762</v>
      </c>
      <c r="L248" s="153">
        <f t="shared" si="226"/>
        <v>1.0408857682959762</v>
      </c>
      <c r="M248" s="153">
        <f t="shared" si="226"/>
        <v>1.0408857682959762</v>
      </c>
      <c r="N248" s="153">
        <f t="shared" si="226"/>
        <v>1.0408857682959762</v>
      </c>
      <c r="O248" s="153">
        <f t="shared" si="226"/>
        <v>1.0408857682959762</v>
      </c>
      <c r="P248" s="153">
        <f t="shared" si="226"/>
        <v>1.0408857682959762</v>
      </c>
      <c r="Q248" s="153">
        <f t="shared" si="226"/>
        <v>1.1226944181646168</v>
      </c>
      <c r="R248" s="153">
        <f t="shared" si="226"/>
        <v>1.0408857682959762</v>
      </c>
      <c r="S248" s="153">
        <f t="shared" si="226"/>
        <v>1.0408857682959762</v>
      </c>
      <c r="T248" s="153">
        <f t="shared" si="226"/>
        <v>1.0408857682959762</v>
      </c>
      <c r="U248" s="153">
        <f t="shared" si="226"/>
        <v>1.0408857682959762</v>
      </c>
      <c r="V248" s="153">
        <f t="shared" si="226"/>
        <v>1.0408857682959762</v>
      </c>
      <c r="W248" s="153">
        <f t="shared" si="226"/>
        <v>1.0408857682959762</v>
      </c>
      <c r="X248" s="153">
        <f t="shared" si="226"/>
        <v>1.0408857682959762</v>
      </c>
      <c r="Y248" s="153">
        <f t="shared" si="226"/>
        <v>1.0408857682959762</v>
      </c>
    </row>
    <row r="249" spans="5:25" x14ac:dyDescent="0.35">
      <c r="J249" s="89"/>
      <c r="K249" s="89"/>
      <c r="L249" s="89"/>
      <c r="M249" s="89"/>
      <c r="N249" s="89"/>
      <c r="O249" s="89"/>
      <c r="P249" s="89"/>
      <c r="Q249" s="89"/>
      <c r="R249" s="89"/>
      <c r="S249" s="89"/>
      <c r="T249" s="89"/>
      <c r="U249" s="89"/>
      <c r="V249" s="89"/>
      <c r="W249" s="89"/>
      <c r="X249" s="89"/>
      <c r="Y249" s="89"/>
    </row>
    <row r="250" spans="5:25" x14ac:dyDescent="0.35">
      <c r="E250" s="32" t="s">
        <v>158</v>
      </c>
      <c r="G250" s="28"/>
      <c r="J250" s="89"/>
      <c r="K250" s="89"/>
      <c r="L250" s="89"/>
      <c r="M250" s="89"/>
      <c r="N250" s="89"/>
      <c r="O250" s="89"/>
      <c r="P250" s="89"/>
      <c r="Q250" s="89"/>
      <c r="R250" s="89"/>
      <c r="S250" s="89"/>
      <c r="T250" s="89"/>
      <c r="U250" s="89"/>
      <c r="V250" s="89"/>
      <c r="W250" s="89"/>
      <c r="X250" s="89"/>
      <c r="Y250" s="89"/>
    </row>
    <row r="251" spans="5:25" x14ac:dyDescent="0.35">
      <c r="F251" s="64" t="s">
        <v>191</v>
      </c>
      <c r="G251" s="64" t="s">
        <v>283</v>
      </c>
      <c r="H251" s="23"/>
      <c r="I251" s="23"/>
      <c r="J251" s="153">
        <f t="shared" ref="J251:Y251" si="227">J179 * J226 * hours_in_year</f>
        <v>0.36421431913897989</v>
      </c>
      <c r="K251" s="153">
        <f t="shared" si="227"/>
        <v>0.36421431913897989</v>
      </c>
      <c r="L251" s="153">
        <f t="shared" si="227"/>
        <v>0.36421431913897989</v>
      </c>
      <c r="M251" s="153">
        <f t="shared" si="227"/>
        <v>0.36421431913897989</v>
      </c>
      <c r="N251" s="153">
        <f t="shared" si="227"/>
        <v>0.36421431913897989</v>
      </c>
      <c r="O251" s="153">
        <f t="shared" si="227"/>
        <v>0.36421431913897989</v>
      </c>
      <c r="P251" s="153">
        <f t="shared" si="227"/>
        <v>0.36421431913897989</v>
      </c>
      <c r="Q251" s="153">
        <f t="shared" si="227"/>
        <v>0.36421431913897989</v>
      </c>
      <c r="R251" s="153">
        <f t="shared" si="227"/>
        <v>0.36421431913897989</v>
      </c>
      <c r="S251" s="153">
        <f t="shared" si="227"/>
        <v>0.36421431913897989</v>
      </c>
      <c r="T251" s="153">
        <f t="shared" si="227"/>
        <v>0.36421431913897989</v>
      </c>
      <c r="U251" s="153">
        <f t="shared" si="227"/>
        <v>0.36421431913897989</v>
      </c>
      <c r="V251" s="153">
        <f t="shared" si="227"/>
        <v>0.36421431913897989</v>
      </c>
      <c r="W251" s="153">
        <f t="shared" si="227"/>
        <v>0.36421431913897989</v>
      </c>
      <c r="X251" s="153">
        <f t="shared" si="227"/>
        <v>0.36421431913897989</v>
      </c>
      <c r="Y251" s="153">
        <f t="shared" si="227"/>
        <v>0.36421431913897989</v>
      </c>
    </row>
    <row r="252" spans="5:25" x14ac:dyDescent="0.35">
      <c r="F252" s="28" t="s">
        <v>192</v>
      </c>
      <c r="G252" s="28" t="s">
        <v>283</v>
      </c>
      <c r="J252" s="153">
        <f t="shared" ref="J252:Y252" si="228">J184 * J226 * hours_in_year</f>
        <v>0</v>
      </c>
      <c r="K252" s="153">
        <f t="shared" si="228"/>
        <v>0</v>
      </c>
      <c r="L252" s="153">
        <f t="shared" si="228"/>
        <v>0</v>
      </c>
      <c r="M252" s="153">
        <f t="shared" si="228"/>
        <v>0</v>
      </c>
      <c r="N252" s="153">
        <f t="shared" si="228"/>
        <v>0</v>
      </c>
      <c r="O252" s="153">
        <f t="shared" si="228"/>
        <v>0</v>
      </c>
      <c r="P252" s="153">
        <f t="shared" si="228"/>
        <v>0</v>
      </c>
      <c r="Q252" s="153">
        <f t="shared" si="228"/>
        <v>0</v>
      </c>
      <c r="R252" s="153">
        <f t="shared" si="228"/>
        <v>0</v>
      </c>
      <c r="S252" s="153">
        <f t="shared" si="228"/>
        <v>0</v>
      </c>
      <c r="T252" s="153">
        <f t="shared" si="228"/>
        <v>0</v>
      </c>
      <c r="U252" s="153">
        <f t="shared" si="228"/>
        <v>0</v>
      </c>
      <c r="V252" s="153">
        <f t="shared" si="228"/>
        <v>0</v>
      </c>
      <c r="W252" s="153">
        <f t="shared" si="228"/>
        <v>0</v>
      </c>
      <c r="X252" s="153">
        <f t="shared" si="228"/>
        <v>0</v>
      </c>
      <c r="Y252" s="153">
        <f t="shared" si="228"/>
        <v>0</v>
      </c>
    </row>
    <row r="253" spans="5:25" x14ac:dyDescent="0.35">
      <c r="F253" s="28" t="s">
        <v>193</v>
      </c>
      <c r="G253" s="28" t="s">
        <v>283</v>
      </c>
      <c r="J253" s="153">
        <f t="shared" ref="J253:Y253" si="229">J189 * J226 * hours_in_year</f>
        <v>0</v>
      </c>
      <c r="K253" s="153">
        <f t="shared" si="229"/>
        <v>0</v>
      </c>
      <c r="L253" s="153">
        <f t="shared" si="229"/>
        <v>0</v>
      </c>
      <c r="M253" s="153">
        <f t="shared" si="229"/>
        <v>0</v>
      </c>
      <c r="N253" s="153">
        <f t="shared" si="229"/>
        <v>0</v>
      </c>
      <c r="O253" s="153">
        <f t="shared" si="229"/>
        <v>0</v>
      </c>
      <c r="P253" s="153">
        <f t="shared" si="229"/>
        <v>0</v>
      </c>
      <c r="Q253" s="153">
        <f t="shared" si="229"/>
        <v>0</v>
      </c>
      <c r="R253" s="153">
        <f t="shared" si="229"/>
        <v>0</v>
      </c>
      <c r="S253" s="153">
        <f t="shared" si="229"/>
        <v>0</v>
      </c>
      <c r="T253" s="153">
        <f t="shared" si="229"/>
        <v>0</v>
      </c>
      <c r="U253" s="153">
        <f t="shared" si="229"/>
        <v>0</v>
      </c>
      <c r="V253" s="153">
        <f t="shared" si="229"/>
        <v>0</v>
      </c>
      <c r="W253" s="153">
        <f t="shared" si="229"/>
        <v>0</v>
      </c>
      <c r="X253" s="153">
        <f t="shared" si="229"/>
        <v>0</v>
      </c>
      <c r="Y253" s="153">
        <f t="shared" si="229"/>
        <v>0</v>
      </c>
    </row>
    <row r="254" spans="5:25" x14ac:dyDescent="0.35">
      <c r="F254" s="28" t="s">
        <v>194</v>
      </c>
      <c r="G254" s="28" t="s">
        <v>283</v>
      </c>
      <c r="J254" s="153">
        <f t="shared" ref="J254:Y254" si="230">J194 * J226 * hours_in_year</f>
        <v>0.30744033692091716</v>
      </c>
      <c r="K254" s="153">
        <f t="shared" si="230"/>
        <v>0.30744033692091716</v>
      </c>
      <c r="L254" s="153">
        <f t="shared" si="230"/>
        <v>0.30744033692091716</v>
      </c>
      <c r="M254" s="153">
        <f t="shared" si="230"/>
        <v>0.30744033692091716</v>
      </c>
      <c r="N254" s="153">
        <f t="shared" si="230"/>
        <v>0.30744033692091716</v>
      </c>
      <c r="O254" s="153">
        <f t="shared" si="230"/>
        <v>0.30744033692091716</v>
      </c>
      <c r="P254" s="153">
        <f t="shared" si="230"/>
        <v>0.30744033692091716</v>
      </c>
      <c r="Q254" s="153">
        <f t="shared" si="230"/>
        <v>0.30744033692091716</v>
      </c>
      <c r="R254" s="153">
        <f t="shared" si="230"/>
        <v>0.30744033692091716</v>
      </c>
      <c r="S254" s="153">
        <f t="shared" si="230"/>
        <v>0.30744033692091716</v>
      </c>
      <c r="T254" s="153">
        <f t="shared" si="230"/>
        <v>0.30744033692091716</v>
      </c>
      <c r="U254" s="153">
        <f t="shared" si="230"/>
        <v>0.30744033692091716</v>
      </c>
      <c r="V254" s="153">
        <f t="shared" si="230"/>
        <v>0.30744033692091716</v>
      </c>
      <c r="W254" s="153">
        <f t="shared" si="230"/>
        <v>0.30744033692091716</v>
      </c>
      <c r="X254" s="153">
        <f t="shared" si="230"/>
        <v>0.30744033692091716</v>
      </c>
      <c r="Y254" s="153">
        <f t="shared" si="230"/>
        <v>0.30744033692091716</v>
      </c>
    </row>
    <row r="255" spans="5:25" x14ac:dyDescent="0.35">
      <c r="F255" s="28" t="s">
        <v>195</v>
      </c>
      <c r="G255" s="28" t="s">
        <v>283</v>
      </c>
      <c r="J255" s="153">
        <f t="shared" ref="J255:Y255" si="231">J199 * J226 * hours_in_year</f>
        <v>0.30744033692091716</v>
      </c>
      <c r="K255" s="153">
        <f t="shared" si="231"/>
        <v>0.30744033692091716</v>
      </c>
      <c r="L255" s="153">
        <f t="shared" si="231"/>
        <v>0.30744033692091716</v>
      </c>
      <c r="M255" s="153">
        <f t="shared" si="231"/>
        <v>0.30744033692091716</v>
      </c>
      <c r="N255" s="153">
        <f t="shared" si="231"/>
        <v>0.30744033692091716</v>
      </c>
      <c r="O255" s="153">
        <f t="shared" si="231"/>
        <v>0.30744033692091716</v>
      </c>
      <c r="P255" s="153">
        <f t="shared" si="231"/>
        <v>0.30744033692091716</v>
      </c>
      <c r="Q255" s="153">
        <f t="shared" si="231"/>
        <v>0.30744033692091716</v>
      </c>
      <c r="R255" s="153">
        <f t="shared" si="231"/>
        <v>0.30744033692091716</v>
      </c>
      <c r="S255" s="153">
        <f t="shared" si="231"/>
        <v>0.30744033692091716</v>
      </c>
      <c r="T255" s="153">
        <f t="shared" si="231"/>
        <v>0.30744033692091716</v>
      </c>
      <c r="U255" s="153">
        <f t="shared" si="231"/>
        <v>0.30744033692091716</v>
      </c>
      <c r="V255" s="153">
        <f t="shared" si="231"/>
        <v>0.30744033692091716</v>
      </c>
      <c r="W255" s="153">
        <f t="shared" si="231"/>
        <v>0.30744033692091716</v>
      </c>
      <c r="X255" s="153">
        <f t="shared" si="231"/>
        <v>0.30744033692091716</v>
      </c>
      <c r="Y255" s="153">
        <f t="shared" si="231"/>
        <v>0.30744033692091716</v>
      </c>
    </row>
    <row r="256" spans="5:25" x14ac:dyDescent="0.35">
      <c r="F256" s="28" t="s">
        <v>196</v>
      </c>
      <c r="G256" s="28" t="s">
        <v>283</v>
      </c>
      <c r="J256" s="153">
        <f t="shared" ref="J256:Y256" si="232">J204 * J226 * hours_in_year</f>
        <v>0</v>
      </c>
      <c r="K256" s="153">
        <f t="shared" si="232"/>
        <v>0</v>
      </c>
      <c r="L256" s="153">
        <f t="shared" si="232"/>
        <v>0</v>
      </c>
      <c r="M256" s="153">
        <f t="shared" si="232"/>
        <v>0</v>
      </c>
      <c r="N256" s="153">
        <f t="shared" si="232"/>
        <v>0</v>
      </c>
      <c r="O256" s="153">
        <f t="shared" si="232"/>
        <v>0</v>
      </c>
      <c r="P256" s="153">
        <f t="shared" si="232"/>
        <v>0</v>
      </c>
      <c r="Q256" s="153">
        <f t="shared" si="232"/>
        <v>0</v>
      </c>
      <c r="R256" s="153">
        <f t="shared" si="232"/>
        <v>0</v>
      </c>
      <c r="S256" s="153">
        <f t="shared" si="232"/>
        <v>0</v>
      </c>
      <c r="T256" s="153">
        <f t="shared" si="232"/>
        <v>0</v>
      </c>
      <c r="U256" s="153">
        <f t="shared" si="232"/>
        <v>0</v>
      </c>
      <c r="V256" s="153">
        <f t="shared" si="232"/>
        <v>0</v>
      </c>
      <c r="W256" s="153">
        <f t="shared" si="232"/>
        <v>0</v>
      </c>
      <c r="X256" s="153">
        <f t="shared" si="232"/>
        <v>0</v>
      </c>
      <c r="Y256" s="153">
        <f t="shared" si="232"/>
        <v>0</v>
      </c>
    </row>
    <row r="257" spans="2:27" x14ac:dyDescent="0.35">
      <c r="F257" s="28" t="s">
        <v>197</v>
      </c>
      <c r="G257" s="28" t="s">
        <v>283</v>
      </c>
      <c r="J257" s="153">
        <f t="shared" ref="J257:Y257" si="233">J209 * J226 * hours_in_year</f>
        <v>0.34843238184370617</v>
      </c>
      <c r="K257" s="153">
        <f t="shared" si="233"/>
        <v>0.34843238184370617</v>
      </c>
      <c r="L257" s="153">
        <f t="shared" si="233"/>
        <v>0.34843238184370617</v>
      </c>
      <c r="M257" s="153">
        <f t="shared" si="233"/>
        <v>0.34843238184370617</v>
      </c>
      <c r="N257" s="153">
        <f t="shared" si="233"/>
        <v>0.34843238184370617</v>
      </c>
      <c r="O257" s="153">
        <f t="shared" si="233"/>
        <v>0.34843238184370617</v>
      </c>
      <c r="P257" s="153">
        <f t="shared" si="233"/>
        <v>0.34843238184370617</v>
      </c>
      <c r="Q257" s="153">
        <f t="shared" si="233"/>
        <v>0.34843238184370617</v>
      </c>
      <c r="R257" s="153">
        <f t="shared" si="233"/>
        <v>0.34843238184370617</v>
      </c>
      <c r="S257" s="153">
        <f t="shared" si="233"/>
        <v>0.34843238184370617</v>
      </c>
      <c r="T257" s="153">
        <f t="shared" si="233"/>
        <v>0.34843238184370617</v>
      </c>
      <c r="U257" s="153">
        <f t="shared" si="233"/>
        <v>0.34843238184370617</v>
      </c>
      <c r="V257" s="153">
        <f t="shared" si="233"/>
        <v>0.34843238184370617</v>
      </c>
      <c r="W257" s="153">
        <f t="shared" si="233"/>
        <v>0.34843238184370617</v>
      </c>
      <c r="X257" s="153">
        <f t="shared" si="233"/>
        <v>0.34843238184370617</v>
      </c>
      <c r="Y257" s="153">
        <f t="shared" si="233"/>
        <v>0.34843238184370617</v>
      </c>
    </row>
    <row r="258" spans="2:27" x14ac:dyDescent="0.35">
      <c r="F258" s="28" t="s">
        <v>198</v>
      </c>
      <c r="G258" s="28" t="s">
        <v>283</v>
      </c>
      <c r="J258" s="153">
        <f t="shared" ref="J258:Y258" si="234">J214 * J226 * hours_in_year</f>
        <v>0.34843238184370617</v>
      </c>
      <c r="K258" s="153">
        <f t="shared" si="234"/>
        <v>0.34843238184370617</v>
      </c>
      <c r="L258" s="153">
        <f t="shared" si="234"/>
        <v>0.34843238184370617</v>
      </c>
      <c r="M258" s="153">
        <f t="shared" si="234"/>
        <v>0.34843238184370617</v>
      </c>
      <c r="N258" s="153">
        <f t="shared" si="234"/>
        <v>0.34843238184370617</v>
      </c>
      <c r="O258" s="153">
        <f t="shared" si="234"/>
        <v>0.34843238184370617</v>
      </c>
      <c r="P258" s="153">
        <f t="shared" si="234"/>
        <v>0.34843238184370617</v>
      </c>
      <c r="Q258" s="153">
        <f t="shared" si="234"/>
        <v>0.34843238184370617</v>
      </c>
      <c r="R258" s="153">
        <f t="shared" si="234"/>
        <v>0.34843238184370617</v>
      </c>
      <c r="S258" s="153">
        <f t="shared" si="234"/>
        <v>0.34843238184370617</v>
      </c>
      <c r="T258" s="153">
        <f t="shared" si="234"/>
        <v>0.34843238184370617</v>
      </c>
      <c r="U258" s="153">
        <f t="shared" si="234"/>
        <v>0.34843238184370617</v>
      </c>
      <c r="V258" s="153">
        <f t="shared" si="234"/>
        <v>0.34843238184370617</v>
      </c>
      <c r="W258" s="153">
        <f t="shared" si="234"/>
        <v>0.34843238184370617</v>
      </c>
      <c r="X258" s="153">
        <f t="shared" si="234"/>
        <v>0.34843238184370617</v>
      </c>
      <c r="Y258" s="153">
        <f t="shared" si="234"/>
        <v>0.34843238184370617</v>
      </c>
    </row>
    <row r="259" spans="2:27" x14ac:dyDescent="0.35">
      <c r="F259" s="67" t="s">
        <v>199</v>
      </c>
      <c r="G259" s="67" t="s">
        <v>283</v>
      </c>
      <c r="H259" s="37"/>
      <c r="I259" s="37"/>
      <c r="J259" s="153">
        <f t="shared" ref="J259:Y259" si="235">J219 * J226 * hours_in_year</f>
        <v>0.34843238184370617</v>
      </c>
      <c r="K259" s="153">
        <f t="shared" si="235"/>
        <v>0.34843238184370617</v>
      </c>
      <c r="L259" s="153">
        <f t="shared" si="235"/>
        <v>0.34843238184370617</v>
      </c>
      <c r="M259" s="153">
        <f t="shared" si="235"/>
        <v>0.34843238184370617</v>
      </c>
      <c r="N259" s="153">
        <f t="shared" si="235"/>
        <v>0.34843238184370617</v>
      </c>
      <c r="O259" s="153">
        <f t="shared" si="235"/>
        <v>0.34843238184370617</v>
      </c>
      <c r="P259" s="153">
        <f t="shared" si="235"/>
        <v>0.34843238184370617</v>
      </c>
      <c r="Q259" s="153">
        <f t="shared" si="235"/>
        <v>0.34843238184370617</v>
      </c>
      <c r="R259" s="153">
        <f t="shared" si="235"/>
        <v>0.34843238184370617</v>
      </c>
      <c r="S259" s="153">
        <f t="shared" si="235"/>
        <v>0.34843238184370617</v>
      </c>
      <c r="T259" s="153">
        <f t="shared" si="235"/>
        <v>0.34843238184370617</v>
      </c>
      <c r="U259" s="153">
        <f t="shared" si="235"/>
        <v>0.34843238184370617</v>
      </c>
      <c r="V259" s="153">
        <f t="shared" si="235"/>
        <v>0.34843238184370617</v>
      </c>
      <c r="W259" s="153">
        <f t="shared" si="235"/>
        <v>0.34843238184370617</v>
      </c>
      <c r="X259" s="153">
        <f t="shared" si="235"/>
        <v>0.34843238184370617</v>
      </c>
      <c r="Y259" s="153">
        <f t="shared" si="235"/>
        <v>0.34843238184370617</v>
      </c>
    </row>
    <row r="260" spans="2:27" x14ac:dyDescent="0.35">
      <c r="J260" s="89"/>
      <c r="K260" s="89"/>
      <c r="L260" s="89"/>
      <c r="M260" s="89"/>
      <c r="N260" s="89"/>
      <c r="O260" s="89"/>
      <c r="P260" s="89"/>
      <c r="Q260" s="89"/>
      <c r="R260" s="89"/>
      <c r="S260" s="89"/>
      <c r="T260" s="89"/>
      <c r="U260" s="89"/>
      <c r="V260" s="89"/>
      <c r="W260" s="89"/>
      <c r="X260" s="89"/>
      <c r="Y260" s="89"/>
    </row>
    <row r="261" spans="2:27" x14ac:dyDescent="0.35">
      <c r="B261" s="30" t="s">
        <v>845</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35">
      <c r="F262" s="28"/>
      <c r="G262" s="28"/>
      <c r="J262" s="89"/>
      <c r="K262" s="89"/>
      <c r="L262" s="89"/>
      <c r="M262" s="89"/>
      <c r="N262" s="89"/>
      <c r="O262" s="89"/>
      <c r="P262" s="89"/>
      <c r="Q262" s="89"/>
      <c r="R262" s="89"/>
      <c r="S262" s="89"/>
      <c r="T262" s="89"/>
      <c r="U262" s="89"/>
      <c r="V262" s="89"/>
      <c r="W262" s="89"/>
      <c r="X262" s="89"/>
      <c r="Y262" s="89"/>
    </row>
    <row r="263" spans="2:27" x14ac:dyDescent="0.35">
      <c r="C263" s="29" t="s">
        <v>865</v>
      </c>
      <c r="F263" s="28"/>
      <c r="G263" s="28"/>
      <c r="J263" s="89"/>
      <c r="K263" s="89"/>
      <c r="L263" s="89"/>
      <c r="M263" s="89"/>
      <c r="N263" s="89"/>
      <c r="O263" s="89"/>
      <c r="P263" s="89"/>
      <c r="Q263" s="89"/>
      <c r="R263" s="89"/>
      <c r="S263" s="89"/>
      <c r="T263" s="89"/>
      <c r="U263" s="89"/>
      <c r="V263" s="89"/>
      <c r="W263" s="89"/>
      <c r="X263" s="89"/>
      <c r="Y263" s="89"/>
    </row>
    <row r="264" spans="2:27" x14ac:dyDescent="0.35">
      <c r="F264" s="28"/>
      <c r="G264" s="28"/>
      <c r="J264" s="89"/>
      <c r="K264" s="89"/>
      <c r="L264" s="89"/>
      <c r="M264" s="89"/>
      <c r="N264" s="89"/>
      <c r="O264" s="89"/>
      <c r="P264" s="89"/>
      <c r="Q264" s="89"/>
      <c r="R264" s="89"/>
      <c r="S264" s="89"/>
      <c r="T264" s="89"/>
      <c r="U264" s="89"/>
      <c r="V264" s="89"/>
      <c r="W264" s="89"/>
      <c r="X264" s="89"/>
      <c r="Y264" s="89"/>
    </row>
    <row r="265" spans="2:27" x14ac:dyDescent="0.3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35">
      <c r="F266" s="28"/>
      <c r="G266" s="28"/>
      <c r="J266" s="89"/>
      <c r="K266" s="89"/>
      <c r="L266" s="89"/>
      <c r="M266" s="89"/>
      <c r="N266" s="89"/>
      <c r="O266" s="89"/>
      <c r="P266" s="89"/>
      <c r="Q266" s="89"/>
      <c r="R266" s="89"/>
      <c r="S266" s="89"/>
      <c r="T266" s="89"/>
      <c r="U266" s="89"/>
      <c r="V266" s="89"/>
      <c r="W266" s="89"/>
      <c r="X266" s="89"/>
      <c r="Y266" s="89"/>
    </row>
    <row r="267" spans="2:27" x14ac:dyDescent="0.35">
      <c r="E267" s="28" t="s">
        <v>472</v>
      </c>
      <c r="G267" s="28" t="s">
        <v>283</v>
      </c>
      <c r="J267" s="121">
        <f>J91</f>
        <v>1.6359587478243445</v>
      </c>
      <c r="K267" s="121">
        <f t="shared" ref="K267:Y267" si="236">K91</f>
        <v>1.6359587478243445</v>
      </c>
      <c r="L267" s="121">
        <f t="shared" si="236"/>
        <v>1.6811514476629494</v>
      </c>
      <c r="M267" s="121">
        <f t="shared" si="236"/>
        <v>1.6811514476629494</v>
      </c>
      <c r="N267" s="121">
        <f t="shared" si="236"/>
        <v>1.4090513396312287</v>
      </c>
      <c r="O267" s="121">
        <f t="shared" si="236"/>
        <v>1.1651710272280893</v>
      </c>
      <c r="P267" s="121">
        <f t="shared" si="236"/>
        <v>1.2016370849896552</v>
      </c>
      <c r="Q267" s="121">
        <f t="shared" si="236"/>
        <v>1.6779540343929438</v>
      </c>
      <c r="R267" s="121">
        <f t="shared" si="236"/>
        <v>1</v>
      </c>
      <c r="S267" s="121">
        <f t="shared" si="236"/>
        <v>1</v>
      </c>
      <c r="T267" s="121">
        <f t="shared" si="236"/>
        <v>1</v>
      </c>
      <c r="U267" s="121">
        <f t="shared" si="236"/>
        <v>1</v>
      </c>
      <c r="V267" s="121">
        <f t="shared" si="236"/>
        <v>1</v>
      </c>
      <c r="W267" s="121">
        <f t="shared" si="236"/>
        <v>1</v>
      </c>
      <c r="X267" s="121">
        <f t="shared" si="236"/>
        <v>1</v>
      </c>
      <c r="Y267" s="121">
        <f t="shared" si="236"/>
        <v>1</v>
      </c>
    </row>
    <row r="268" spans="2:27" x14ac:dyDescent="0.35">
      <c r="F268" s="28"/>
      <c r="G268" s="28"/>
      <c r="J268" s="89"/>
      <c r="K268" s="89"/>
      <c r="L268" s="89"/>
      <c r="M268" s="89"/>
      <c r="N268" s="89"/>
      <c r="O268" s="89"/>
      <c r="P268" s="89"/>
      <c r="Q268" s="89"/>
      <c r="R268" s="89"/>
      <c r="S268" s="89"/>
      <c r="T268" s="89"/>
      <c r="U268" s="89"/>
      <c r="V268" s="89"/>
      <c r="W268" s="89"/>
      <c r="X268" s="89"/>
      <c r="Y268" s="89"/>
    </row>
    <row r="269" spans="2:27" x14ac:dyDescent="0.3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35">
      <c r="F270" s="28"/>
      <c r="G270" s="28"/>
      <c r="J270" s="89"/>
      <c r="K270" s="89"/>
      <c r="L270" s="89"/>
      <c r="M270" s="89"/>
      <c r="N270" s="89"/>
      <c r="O270" s="89"/>
      <c r="P270" s="89"/>
      <c r="Q270" s="89"/>
      <c r="R270" s="89"/>
      <c r="S270" s="89"/>
      <c r="T270" s="89"/>
      <c r="U270" s="89"/>
      <c r="V270" s="89"/>
      <c r="W270" s="89"/>
      <c r="X270" s="89"/>
      <c r="Y270" s="89"/>
    </row>
    <row r="271" spans="2:27" x14ac:dyDescent="0.35">
      <c r="E271" s="32" t="s">
        <v>156</v>
      </c>
      <c r="G271" s="28"/>
      <c r="J271" s="89"/>
      <c r="K271" s="89"/>
      <c r="L271" s="89"/>
      <c r="M271" s="89"/>
      <c r="N271" s="89"/>
      <c r="O271" s="89"/>
      <c r="P271" s="89"/>
      <c r="Q271" s="89"/>
      <c r="R271" s="89"/>
      <c r="S271" s="89"/>
      <c r="T271" s="89"/>
      <c r="U271" s="89"/>
      <c r="V271" s="89"/>
      <c r="W271" s="89"/>
      <c r="X271" s="89"/>
      <c r="Y271" s="89"/>
    </row>
    <row r="272" spans="2:27" x14ac:dyDescent="0.35">
      <c r="F272" s="64" t="s">
        <v>191</v>
      </c>
      <c r="G272" s="64" t="s">
        <v>283</v>
      </c>
      <c r="H272" s="23"/>
      <c r="I272" s="23"/>
      <c r="J272" s="101">
        <f>J229 * J$93</f>
        <v>6.7482889618723787</v>
      </c>
      <c r="K272" s="101">
        <f t="shared" ref="K272:Y272" si="237">K229 * K$93</f>
        <v>6.7482889618723787</v>
      </c>
      <c r="L272" s="101">
        <f t="shared" si="237"/>
        <v>7.7438972128952743</v>
      </c>
      <c r="M272" s="101">
        <f t="shared" si="237"/>
        <v>7.7438972128952743</v>
      </c>
      <c r="N272" s="101">
        <f t="shared" si="237"/>
        <v>6.5770345051126187</v>
      </c>
      <c r="O272" s="101">
        <f t="shared" si="237"/>
        <v>5.6110797588219876</v>
      </c>
      <c r="P272" s="101">
        <f t="shared" si="237"/>
        <v>5.8944473174197078</v>
      </c>
      <c r="Q272" s="101">
        <f t="shared" si="237"/>
        <v>9.8171958139514377</v>
      </c>
      <c r="R272" s="101">
        <f t="shared" si="237"/>
        <v>5.2168429118773947</v>
      </c>
      <c r="S272" s="101">
        <f t="shared" si="237"/>
        <v>5.2168429118773947</v>
      </c>
      <c r="T272" s="101">
        <f t="shared" si="237"/>
        <v>5.2168429118773947</v>
      </c>
      <c r="U272" s="101">
        <f t="shared" si="237"/>
        <v>5.2168429118773947</v>
      </c>
      <c r="V272" s="101">
        <f t="shared" si="237"/>
        <v>5.2168429118773947</v>
      </c>
      <c r="W272" s="101">
        <f t="shared" si="237"/>
        <v>5.2168429118773947</v>
      </c>
      <c r="X272" s="101">
        <f t="shared" si="237"/>
        <v>5.2168429118773947</v>
      </c>
      <c r="Y272" s="101">
        <f t="shared" si="237"/>
        <v>5.2168429118773947</v>
      </c>
    </row>
    <row r="273" spans="5:25" x14ac:dyDescent="0.35">
      <c r="F273" s="28" t="s">
        <v>192</v>
      </c>
      <c r="G273" s="28" t="s">
        <v>283</v>
      </c>
      <c r="J273" s="121">
        <f t="shared" ref="J273:Y273" si="238">J230 * J$93</f>
        <v>0</v>
      </c>
      <c r="K273" s="121">
        <f t="shared" si="238"/>
        <v>0</v>
      </c>
      <c r="L273" s="121">
        <f t="shared" si="238"/>
        <v>0</v>
      </c>
      <c r="M273" s="121">
        <f t="shared" si="238"/>
        <v>0</v>
      </c>
      <c r="N273" s="121">
        <f t="shared" si="238"/>
        <v>0</v>
      </c>
      <c r="O273" s="121">
        <f t="shared" si="238"/>
        <v>0</v>
      </c>
      <c r="P273" s="121">
        <f t="shared" si="238"/>
        <v>0</v>
      </c>
      <c r="Q273" s="121">
        <f t="shared" si="238"/>
        <v>0</v>
      </c>
      <c r="R273" s="121">
        <f t="shared" si="238"/>
        <v>0</v>
      </c>
      <c r="S273" s="121">
        <f t="shared" si="238"/>
        <v>0</v>
      </c>
      <c r="T273" s="121">
        <f t="shared" si="238"/>
        <v>0</v>
      </c>
      <c r="U273" s="121">
        <f t="shared" si="238"/>
        <v>0</v>
      </c>
      <c r="V273" s="121">
        <f t="shared" si="238"/>
        <v>0</v>
      </c>
      <c r="W273" s="121">
        <f t="shared" si="238"/>
        <v>0</v>
      </c>
      <c r="X273" s="121">
        <f t="shared" si="238"/>
        <v>0</v>
      </c>
      <c r="Y273" s="121">
        <f t="shared" si="238"/>
        <v>0</v>
      </c>
    </row>
    <row r="274" spans="5:25" x14ac:dyDescent="0.35">
      <c r="F274" s="28" t="s">
        <v>193</v>
      </c>
      <c r="G274" s="28" t="s">
        <v>283</v>
      </c>
      <c r="J274" s="121">
        <f t="shared" ref="J274:Y274" si="239">J231 * J$93</f>
        <v>0</v>
      </c>
      <c r="K274" s="121">
        <f t="shared" si="239"/>
        <v>0</v>
      </c>
      <c r="L274" s="121">
        <f t="shared" si="239"/>
        <v>0</v>
      </c>
      <c r="M274" s="121">
        <f t="shared" si="239"/>
        <v>0</v>
      </c>
      <c r="N274" s="121">
        <f t="shared" si="239"/>
        <v>0</v>
      </c>
      <c r="O274" s="121">
        <f t="shared" si="239"/>
        <v>0</v>
      </c>
      <c r="P274" s="121">
        <f t="shared" si="239"/>
        <v>0</v>
      </c>
      <c r="Q274" s="121">
        <f t="shared" si="239"/>
        <v>0</v>
      </c>
      <c r="R274" s="121">
        <f t="shared" si="239"/>
        <v>0</v>
      </c>
      <c r="S274" s="121">
        <f t="shared" si="239"/>
        <v>0</v>
      </c>
      <c r="T274" s="121">
        <f t="shared" si="239"/>
        <v>0</v>
      </c>
      <c r="U274" s="121">
        <f t="shared" si="239"/>
        <v>0</v>
      </c>
      <c r="V274" s="121">
        <f t="shared" si="239"/>
        <v>0</v>
      </c>
      <c r="W274" s="121">
        <f t="shared" si="239"/>
        <v>0</v>
      </c>
      <c r="X274" s="121">
        <f t="shared" si="239"/>
        <v>0</v>
      </c>
      <c r="Y274" s="121">
        <f t="shared" si="239"/>
        <v>0</v>
      </c>
    </row>
    <row r="275" spans="5:25" x14ac:dyDescent="0.35">
      <c r="F275" s="28" t="s">
        <v>194</v>
      </c>
      <c r="G275" s="28" t="s">
        <v>283</v>
      </c>
      <c r="J275" s="121">
        <f t="shared" ref="J275:Y275" si="240">J232 * J$93</f>
        <v>6.3676756234695411</v>
      </c>
      <c r="K275" s="121">
        <f t="shared" si="240"/>
        <v>6.3676756234695411</v>
      </c>
      <c r="L275" s="121">
        <f t="shared" si="240"/>
        <v>7.3071301172505283</v>
      </c>
      <c r="M275" s="121">
        <f t="shared" si="240"/>
        <v>7.3071301172505283</v>
      </c>
      <c r="N275" s="121">
        <f t="shared" si="240"/>
        <v>6.2060801678094633</v>
      </c>
      <c r="O275" s="121">
        <f t="shared" si="240"/>
        <v>5.2946066778504717</v>
      </c>
      <c r="P275" s="121">
        <f t="shared" si="240"/>
        <v>5.5619918929115846</v>
      </c>
      <c r="Q275" s="121">
        <f t="shared" si="240"/>
        <v>8.8445943710831827</v>
      </c>
      <c r="R275" s="121">
        <f t="shared" si="240"/>
        <v>4.9226053639846752</v>
      </c>
      <c r="S275" s="121">
        <f t="shared" si="240"/>
        <v>4.9226053639846752</v>
      </c>
      <c r="T275" s="121">
        <f t="shared" si="240"/>
        <v>4.9226053639846752</v>
      </c>
      <c r="U275" s="121">
        <f t="shared" si="240"/>
        <v>4.9226053639846752</v>
      </c>
      <c r="V275" s="121">
        <f t="shared" si="240"/>
        <v>4.9226053639846752</v>
      </c>
      <c r="W275" s="121">
        <f t="shared" si="240"/>
        <v>4.9226053639846752</v>
      </c>
      <c r="X275" s="121">
        <f t="shared" si="240"/>
        <v>4.9226053639846752</v>
      </c>
      <c r="Y275" s="121">
        <f t="shared" si="240"/>
        <v>4.9226053639846752</v>
      </c>
    </row>
    <row r="276" spans="5:25" x14ac:dyDescent="0.35">
      <c r="F276" s="28" t="s">
        <v>195</v>
      </c>
      <c r="G276" s="28" t="s">
        <v>283</v>
      </c>
      <c r="J276" s="121">
        <f t="shared" ref="J276:Y276" si="241">J233 * J$93</f>
        <v>6.3676756234695411</v>
      </c>
      <c r="K276" s="121">
        <f t="shared" si="241"/>
        <v>6.3676756234695411</v>
      </c>
      <c r="L276" s="121">
        <f t="shared" si="241"/>
        <v>7.3071301172505283</v>
      </c>
      <c r="M276" s="121">
        <f t="shared" si="241"/>
        <v>7.3071301172505283</v>
      </c>
      <c r="N276" s="121">
        <f t="shared" si="241"/>
        <v>6.2060801678094633</v>
      </c>
      <c r="O276" s="121">
        <f t="shared" si="241"/>
        <v>5.2946066778504717</v>
      </c>
      <c r="P276" s="121">
        <f t="shared" si="241"/>
        <v>5.5619918929115846</v>
      </c>
      <c r="Q276" s="121">
        <f t="shared" si="241"/>
        <v>8.8445943710831827</v>
      </c>
      <c r="R276" s="121">
        <f t="shared" si="241"/>
        <v>4.9226053639846752</v>
      </c>
      <c r="S276" s="121">
        <f t="shared" si="241"/>
        <v>4.9226053639846752</v>
      </c>
      <c r="T276" s="121">
        <f t="shared" si="241"/>
        <v>4.9226053639846752</v>
      </c>
      <c r="U276" s="121">
        <f t="shared" si="241"/>
        <v>4.9226053639846752</v>
      </c>
      <c r="V276" s="121">
        <f t="shared" si="241"/>
        <v>4.9226053639846752</v>
      </c>
      <c r="W276" s="121">
        <f t="shared" si="241"/>
        <v>4.9226053639846752</v>
      </c>
      <c r="X276" s="121">
        <f t="shared" si="241"/>
        <v>4.9226053639846752</v>
      </c>
      <c r="Y276" s="121">
        <f t="shared" si="241"/>
        <v>4.9226053639846752</v>
      </c>
    </row>
    <row r="277" spans="5:25" x14ac:dyDescent="0.35">
      <c r="F277" s="28" t="s">
        <v>196</v>
      </c>
      <c r="G277" s="28" t="s">
        <v>283</v>
      </c>
      <c r="J277" s="121">
        <f t="shared" ref="J277:Y277" si="242">J234 * J$93</f>
        <v>0</v>
      </c>
      <c r="K277" s="121">
        <f t="shared" si="242"/>
        <v>0</v>
      </c>
      <c r="L277" s="121">
        <f t="shared" si="242"/>
        <v>0</v>
      </c>
      <c r="M277" s="121">
        <f t="shared" si="242"/>
        <v>0</v>
      </c>
      <c r="N277" s="121">
        <f t="shared" si="242"/>
        <v>0</v>
      </c>
      <c r="O277" s="121">
        <f t="shared" si="242"/>
        <v>0</v>
      </c>
      <c r="P277" s="121">
        <f t="shared" si="242"/>
        <v>0</v>
      </c>
      <c r="Q277" s="121">
        <f t="shared" si="242"/>
        <v>0</v>
      </c>
      <c r="R277" s="121">
        <f t="shared" si="242"/>
        <v>0</v>
      </c>
      <c r="S277" s="121">
        <f t="shared" si="242"/>
        <v>0</v>
      </c>
      <c r="T277" s="121">
        <f t="shared" si="242"/>
        <v>0</v>
      </c>
      <c r="U277" s="121">
        <f t="shared" si="242"/>
        <v>0</v>
      </c>
      <c r="V277" s="121">
        <f t="shared" si="242"/>
        <v>0</v>
      </c>
      <c r="W277" s="121">
        <f t="shared" si="242"/>
        <v>0</v>
      </c>
      <c r="X277" s="121">
        <f t="shared" si="242"/>
        <v>0</v>
      </c>
      <c r="Y277" s="121">
        <f t="shared" si="242"/>
        <v>0</v>
      </c>
    </row>
    <row r="278" spans="5:25" x14ac:dyDescent="0.35">
      <c r="F278" s="28" t="s">
        <v>197</v>
      </c>
      <c r="G278" s="28" t="s">
        <v>283</v>
      </c>
      <c r="J278" s="121">
        <f t="shared" ref="J278:Y278" si="243">J235 * J$93</f>
        <v>5.6440761208025476</v>
      </c>
      <c r="K278" s="121">
        <f t="shared" si="243"/>
        <v>5.6440761208025476</v>
      </c>
      <c r="L278" s="121">
        <f t="shared" si="243"/>
        <v>6.4767744221084227</v>
      </c>
      <c r="M278" s="121">
        <f t="shared" si="243"/>
        <v>6.4767744221084227</v>
      </c>
      <c r="N278" s="121">
        <f t="shared" si="243"/>
        <v>5.5008437851038421</v>
      </c>
      <c r="O278" s="121">
        <f t="shared" si="243"/>
        <v>4.692946828094736</v>
      </c>
      <c r="P278" s="121">
        <f t="shared" si="243"/>
        <v>4.9299473596261771</v>
      </c>
      <c r="Q278" s="121">
        <f t="shared" si="243"/>
        <v>7.7271754339643248</v>
      </c>
      <c r="R278" s="121">
        <f t="shared" si="243"/>
        <v>4.3632183908045983</v>
      </c>
      <c r="S278" s="121">
        <f t="shared" si="243"/>
        <v>4.3632183908045983</v>
      </c>
      <c r="T278" s="121">
        <f t="shared" si="243"/>
        <v>4.3632183908045983</v>
      </c>
      <c r="U278" s="121">
        <f t="shared" si="243"/>
        <v>4.3632183908045983</v>
      </c>
      <c r="V278" s="121">
        <f t="shared" si="243"/>
        <v>4.3632183908045983</v>
      </c>
      <c r="W278" s="121">
        <f t="shared" si="243"/>
        <v>4.3632183908045983</v>
      </c>
      <c r="X278" s="121">
        <f t="shared" si="243"/>
        <v>4.3632183908045983</v>
      </c>
      <c r="Y278" s="121">
        <f t="shared" si="243"/>
        <v>4.3632183908045983</v>
      </c>
    </row>
    <row r="279" spans="5:25" x14ac:dyDescent="0.35">
      <c r="F279" s="28" t="s">
        <v>198</v>
      </c>
      <c r="G279" s="28" t="s">
        <v>283</v>
      </c>
      <c r="J279" s="121">
        <f t="shared" ref="J279:Y279" si="244">J236 * J$93</f>
        <v>5.6440761208025476</v>
      </c>
      <c r="K279" s="121">
        <f t="shared" si="244"/>
        <v>5.6440761208025476</v>
      </c>
      <c r="L279" s="121">
        <f t="shared" si="244"/>
        <v>6.4767744221084227</v>
      </c>
      <c r="M279" s="121">
        <f t="shared" si="244"/>
        <v>6.4767744221084227</v>
      </c>
      <c r="N279" s="121">
        <f t="shared" si="244"/>
        <v>5.5008437851038421</v>
      </c>
      <c r="O279" s="121">
        <f t="shared" si="244"/>
        <v>4.692946828094736</v>
      </c>
      <c r="P279" s="121">
        <f t="shared" si="244"/>
        <v>4.9299473596261771</v>
      </c>
      <c r="Q279" s="121">
        <f t="shared" si="244"/>
        <v>7.7271754339643248</v>
      </c>
      <c r="R279" s="121">
        <f t="shared" si="244"/>
        <v>4.3632183908045983</v>
      </c>
      <c r="S279" s="121">
        <f t="shared" si="244"/>
        <v>4.3632183908045983</v>
      </c>
      <c r="T279" s="121">
        <f t="shared" si="244"/>
        <v>4.3632183908045983</v>
      </c>
      <c r="U279" s="121">
        <f t="shared" si="244"/>
        <v>4.3632183908045983</v>
      </c>
      <c r="V279" s="121">
        <f t="shared" si="244"/>
        <v>4.3632183908045983</v>
      </c>
      <c r="W279" s="121">
        <f t="shared" si="244"/>
        <v>4.3632183908045983</v>
      </c>
      <c r="X279" s="121">
        <f t="shared" si="244"/>
        <v>4.3632183908045983</v>
      </c>
      <c r="Y279" s="121">
        <f t="shared" si="244"/>
        <v>4.3632183908045983</v>
      </c>
    </row>
    <row r="280" spans="5:25" x14ac:dyDescent="0.35">
      <c r="F280" s="67" t="s">
        <v>199</v>
      </c>
      <c r="G280" s="67" t="s">
        <v>283</v>
      </c>
      <c r="H280" s="37"/>
      <c r="I280" s="37"/>
      <c r="J280" s="131">
        <f t="shared" ref="J280:Y280" si="245">J237 * J$93</f>
        <v>5.6440761208025476</v>
      </c>
      <c r="K280" s="131">
        <f t="shared" si="245"/>
        <v>5.6440761208025476</v>
      </c>
      <c r="L280" s="131">
        <f t="shared" si="245"/>
        <v>6.4767744221084227</v>
      </c>
      <c r="M280" s="131">
        <f t="shared" si="245"/>
        <v>6.4767744221084227</v>
      </c>
      <c r="N280" s="131">
        <f t="shared" si="245"/>
        <v>5.5008437851038421</v>
      </c>
      <c r="O280" s="131">
        <f t="shared" si="245"/>
        <v>4.692946828094736</v>
      </c>
      <c r="P280" s="131">
        <f t="shared" si="245"/>
        <v>4.9299473596261771</v>
      </c>
      <c r="Q280" s="131">
        <f t="shared" si="245"/>
        <v>7.7271754339643248</v>
      </c>
      <c r="R280" s="131">
        <f t="shared" si="245"/>
        <v>4.3632183908045983</v>
      </c>
      <c r="S280" s="131">
        <f t="shared" si="245"/>
        <v>4.3632183908045983</v>
      </c>
      <c r="T280" s="131">
        <f t="shared" si="245"/>
        <v>4.3632183908045983</v>
      </c>
      <c r="U280" s="131">
        <f t="shared" si="245"/>
        <v>4.3632183908045983</v>
      </c>
      <c r="V280" s="131">
        <f t="shared" si="245"/>
        <v>4.3632183908045983</v>
      </c>
      <c r="W280" s="131">
        <f t="shared" si="245"/>
        <v>4.3632183908045983</v>
      </c>
      <c r="X280" s="131">
        <f t="shared" si="245"/>
        <v>4.3632183908045983</v>
      </c>
      <c r="Y280" s="131">
        <f t="shared" si="245"/>
        <v>4.3632183908045983</v>
      </c>
    </row>
    <row r="281" spans="5:25" x14ac:dyDescent="0.35">
      <c r="J281" s="89"/>
      <c r="K281" s="89"/>
      <c r="L281" s="89"/>
      <c r="M281" s="89"/>
      <c r="N281" s="89"/>
      <c r="O281" s="89"/>
      <c r="P281" s="89"/>
      <c r="Q281" s="89"/>
      <c r="R281" s="89"/>
      <c r="S281" s="89"/>
      <c r="T281" s="89"/>
      <c r="U281" s="89"/>
      <c r="V281" s="89"/>
      <c r="W281" s="89"/>
      <c r="X281" s="89"/>
      <c r="Y281" s="89"/>
    </row>
    <row r="282" spans="5:25" x14ac:dyDescent="0.35">
      <c r="E282" s="32" t="s">
        <v>157</v>
      </c>
      <c r="F282" s="28"/>
      <c r="G282" s="28"/>
      <c r="J282" s="89"/>
      <c r="K282" s="89"/>
      <c r="L282" s="89"/>
      <c r="M282" s="89"/>
      <c r="N282" s="89"/>
      <c r="O282" s="89"/>
      <c r="P282" s="89"/>
      <c r="Q282" s="89"/>
      <c r="R282" s="89"/>
      <c r="S282" s="89"/>
      <c r="T282" s="89"/>
      <c r="U282" s="89"/>
      <c r="V282" s="89"/>
      <c r="W282" s="89"/>
      <c r="X282" s="89"/>
      <c r="Y282" s="89"/>
    </row>
    <row r="283" spans="5:25" x14ac:dyDescent="0.35">
      <c r="F283" s="64" t="s">
        <v>191</v>
      </c>
      <c r="G283" s="64" t="s">
        <v>283</v>
      </c>
      <c r="H283" s="23"/>
      <c r="I283" s="23"/>
      <c r="J283" s="101">
        <f>J240 * J$93</f>
        <v>1.0900093429734632</v>
      </c>
      <c r="K283" s="101">
        <f t="shared" ref="K283:Y283" si="246">K240 * K$93</f>
        <v>1.0900093429734632</v>
      </c>
      <c r="L283" s="101">
        <f t="shared" si="246"/>
        <v>1.2508237807795348</v>
      </c>
      <c r="M283" s="101">
        <f t="shared" si="246"/>
        <v>1.2508237807795348</v>
      </c>
      <c r="N283" s="101">
        <f t="shared" si="246"/>
        <v>1.0623476706668002</v>
      </c>
      <c r="O283" s="101">
        <f t="shared" si="246"/>
        <v>0.90632297991997546</v>
      </c>
      <c r="P283" s="101">
        <f t="shared" si="246"/>
        <v>0.95209358756766516</v>
      </c>
      <c r="Q283" s="101">
        <f t="shared" si="246"/>
        <v>0.74694624721662772</v>
      </c>
      <c r="R283" s="101">
        <f t="shared" si="246"/>
        <v>0.84264434242506081</v>
      </c>
      <c r="S283" s="101">
        <f t="shared" si="246"/>
        <v>0.84264434242506081</v>
      </c>
      <c r="T283" s="101">
        <f t="shared" si="246"/>
        <v>0.84264434242506081</v>
      </c>
      <c r="U283" s="101">
        <f t="shared" si="246"/>
        <v>0.84264434242506081</v>
      </c>
      <c r="V283" s="101">
        <f t="shared" si="246"/>
        <v>0.84264434242506081</v>
      </c>
      <c r="W283" s="101">
        <f t="shared" si="246"/>
        <v>0.84264434242506081</v>
      </c>
      <c r="X283" s="101">
        <f t="shared" si="246"/>
        <v>0.84264434242506081</v>
      </c>
      <c r="Y283" s="101">
        <f t="shared" si="246"/>
        <v>0.84264434242506081</v>
      </c>
    </row>
    <row r="284" spans="5:25" x14ac:dyDescent="0.35">
      <c r="F284" s="28" t="s">
        <v>192</v>
      </c>
      <c r="G284" s="28" t="s">
        <v>283</v>
      </c>
      <c r="J284" s="121">
        <f t="shared" ref="J284:Y284" si="247">J241 * J$93</f>
        <v>0</v>
      </c>
      <c r="K284" s="121">
        <f t="shared" si="247"/>
        <v>0</v>
      </c>
      <c r="L284" s="121">
        <f t="shared" si="247"/>
        <v>0</v>
      </c>
      <c r="M284" s="121">
        <f t="shared" si="247"/>
        <v>0</v>
      </c>
      <c r="N284" s="121">
        <f t="shared" si="247"/>
        <v>0</v>
      </c>
      <c r="O284" s="121">
        <f t="shared" si="247"/>
        <v>0</v>
      </c>
      <c r="P284" s="121">
        <f t="shared" si="247"/>
        <v>0</v>
      </c>
      <c r="Q284" s="121">
        <f t="shared" si="247"/>
        <v>0</v>
      </c>
      <c r="R284" s="121">
        <f t="shared" si="247"/>
        <v>0</v>
      </c>
      <c r="S284" s="121">
        <f t="shared" si="247"/>
        <v>0</v>
      </c>
      <c r="T284" s="121">
        <f t="shared" si="247"/>
        <v>0</v>
      </c>
      <c r="U284" s="121">
        <f t="shared" si="247"/>
        <v>0</v>
      </c>
      <c r="V284" s="121">
        <f t="shared" si="247"/>
        <v>0</v>
      </c>
      <c r="W284" s="121">
        <f t="shared" si="247"/>
        <v>0</v>
      </c>
      <c r="X284" s="121">
        <f t="shared" si="247"/>
        <v>0</v>
      </c>
      <c r="Y284" s="121">
        <f t="shared" si="247"/>
        <v>0</v>
      </c>
    </row>
    <row r="285" spans="5:25" x14ac:dyDescent="0.35">
      <c r="F285" s="28" t="s">
        <v>193</v>
      </c>
      <c r="G285" s="28" t="s">
        <v>283</v>
      </c>
      <c r="J285" s="121">
        <f t="shared" ref="J285:Y285" si="248">J242 * J$93</f>
        <v>0</v>
      </c>
      <c r="K285" s="121">
        <f t="shared" si="248"/>
        <v>0</v>
      </c>
      <c r="L285" s="121">
        <f t="shared" si="248"/>
        <v>0</v>
      </c>
      <c r="M285" s="121">
        <f t="shared" si="248"/>
        <v>0</v>
      </c>
      <c r="N285" s="121">
        <f t="shared" si="248"/>
        <v>0</v>
      </c>
      <c r="O285" s="121">
        <f t="shared" si="248"/>
        <v>0</v>
      </c>
      <c r="P285" s="121">
        <f t="shared" si="248"/>
        <v>0</v>
      </c>
      <c r="Q285" s="121">
        <f t="shared" si="248"/>
        <v>0</v>
      </c>
      <c r="R285" s="121">
        <f t="shared" si="248"/>
        <v>0</v>
      </c>
      <c r="S285" s="121">
        <f t="shared" si="248"/>
        <v>0</v>
      </c>
      <c r="T285" s="121">
        <f t="shared" si="248"/>
        <v>0</v>
      </c>
      <c r="U285" s="121">
        <f t="shared" si="248"/>
        <v>0</v>
      </c>
      <c r="V285" s="121">
        <f t="shared" si="248"/>
        <v>0</v>
      </c>
      <c r="W285" s="121">
        <f t="shared" si="248"/>
        <v>0</v>
      </c>
      <c r="X285" s="121">
        <f t="shared" si="248"/>
        <v>0</v>
      </c>
      <c r="Y285" s="121">
        <f t="shared" si="248"/>
        <v>0</v>
      </c>
    </row>
    <row r="286" spans="5:25" x14ac:dyDescent="0.35">
      <c r="F286" s="28" t="s">
        <v>194</v>
      </c>
      <c r="G286" s="28" t="s">
        <v>283</v>
      </c>
      <c r="J286" s="121">
        <f t="shared" ref="J286:Y286" si="249">J243 * J$93</f>
        <v>1.2546429832092079</v>
      </c>
      <c r="K286" s="121">
        <f t="shared" si="249"/>
        <v>1.2546429832092079</v>
      </c>
      <c r="L286" s="121">
        <f t="shared" si="249"/>
        <v>1.4397466314419123</v>
      </c>
      <c r="M286" s="121">
        <f t="shared" si="249"/>
        <v>1.4397466314419123</v>
      </c>
      <c r="N286" s="121">
        <f t="shared" si="249"/>
        <v>1.2228033267079956</v>
      </c>
      <c r="O286" s="121">
        <f t="shared" si="249"/>
        <v>1.0432128629062041</v>
      </c>
      <c r="P286" s="121">
        <f t="shared" si="249"/>
        <v>1.0958966055663746</v>
      </c>
      <c r="Q286" s="121">
        <f t="shared" si="249"/>
        <v>0.85129943285347942</v>
      </c>
      <c r="R286" s="121">
        <f t="shared" si="249"/>
        <v>0.96991628409397779</v>
      </c>
      <c r="S286" s="121">
        <f t="shared" si="249"/>
        <v>0.96991628409397779</v>
      </c>
      <c r="T286" s="121">
        <f t="shared" si="249"/>
        <v>0.96991628409397779</v>
      </c>
      <c r="U286" s="121">
        <f t="shared" si="249"/>
        <v>0.96991628409397779</v>
      </c>
      <c r="V286" s="121">
        <f t="shared" si="249"/>
        <v>0.96991628409397779</v>
      </c>
      <c r="W286" s="121">
        <f t="shared" si="249"/>
        <v>0.96991628409397779</v>
      </c>
      <c r="X286" s="121">
        <f t="shared" si="249"/>
        <v>0.96991628409397779</v>
      </c>
      <c r="Y286" s="121">
        <f t="shared" si="249"/>
        <v>0.96991628409397779</v>
      </c>
    </row>
    <row r="287" spans="5:25" x14ac:dyDescent="0.35">
      <c r="F287" s="28" t="s">
        <v>195</v>
      </c>
      <c r="G287" s="28" t="s">
        <v>283</v>
      </c>
      <c r="J287" s="121">
        <f t="shared" ref="J287:Y287" si="250">J244 * J$93</f>
        <v>1.2546429832092079</v>
      </c>
      <c r="K287" s="121">
        <f t="shared" si="250"/>
        <v>1.2546429832092079</v>
      </c>
      <c r="L287" s="121">
        <f t="shared" si="250"/>
        <v>1.4397466314419123</v>
      </c>
      <c r="M287" s="121">
        <f t="shared" si="250"/>
        <v>1.4397466314419123</v>
      </c>
      <c r="N287" s="121">
        <f t="shared" si="250"/>
        <v>1.2228033267079956</v>
      </c>
      <c r="O287" s="121">
        <f t="shared" si="250"/>
        <v>1.0432128629062041</v>
      </c>
      <c r="P287" s="121">
        <f t="shared" si="250"/>
        <v>1.0958966055663746</v>
      </c>
      <c r="Q287" s="121">
        <f t="shared" si="250"/>
        <v>0.85129943285347942</v>
      </c>
      <c r="R287" s="121">
        <f t="shared" si="250"/>
        <v>0.96991628409397779</v>
      </c>
      <c r="S287" s="121">
        <f t="shared" si="250"/>
        <v>0.96991628409397779</v>
      </c>
      <c r="T287" s="121">
        <f t="shared" si="250"/>
        <v>0.96991628409397779</v>
      </c>
      <c r="U287" s="121">
        <f t="shared" si="250"/>
        <v>0.96991628409397779</v>
      </c>
      <c r="V287" s="121">
        <f t="shared" si="250"/>
        <v>0.96991628409397779</v>
      </c>
      <c r="W287" s="121">
        <f t="shared" si="250"/>
        <v>0.96991628409397779</v>
      </c>
      <c r="X287" s="121">
        <f t="shared" si="250"/>
        <v>0.96991628409397779</v>
      </c>
      <c r="Y287" s="121">
        <f t="shared" si="250"/>
        <v>0.96991628409397779</v>
      </c>
    </row>
    <row r="288" spans="5:25" x14ac:dyDescent="0.35">
      <c r="F288" s="28" t="s">
        <v>196</v>
      </c>
      <c r="G288" s="28" t="s">
        <v>283</v>
      </c>
      <c r="J288" s="121">
        <f t="shared" ref="J288:Y288" si="251">J245 * J$93</f>
        <v>0</v>
      </c>
      <c r="K288" s="121">
        <f t="shared" si="251"/>
        <v>0</v>
      </c>
      <c r="L288" s="121">
        <f t="shared" si="251"/>
        <v>0</v>
      </c>
      <c r="M288" s="121">
        <f t="shared" si="251"/>
        <v>0</v>
      </c>
      <c r="N288" s="121">
        <f t="shared" si="251"/>
        <v>0</v>
      </c>
      <c r="O288" s="121">
        <f t="shared" si="251"/>
        <v>0</v>
      </c>
      <c r="P288" s="121">
        <f t="shared" si="251"/>
        <v>0</v>
      </c>
      <c r="Q288" s="121">
        <f t="shared" si="251"/>
        <v>0</v>
      </c>
      <c r="R288" s="121">
        <f t="shared" si="251"/>
        <v>0</v>
      </c>
      <c r="S288" s="121">
        <f t="shared" si="251"/>
        <v>0</v>
      </c>
      <c r="T288" s="121">
        <f t="shared" si="251"/>
        <v>0</v>
      </c>
      <c r="U288" s="121">
        <f t="shared" si="251"/>
        <v>0</v>
      </c>
      <c r="V288" s="121">
        <f t="shared" si="251"/>
        <v>0</v>
      </c>
      <c r="W288" s="121">
        <f t="shared" si="251"/>
        <v>0</v>
      </c>
      <c r="X288" s="121">
        <f t="shared" si="251"/>
        <v>0</v>
      </c>
      <c r="Y288" s="121">
        <f t="shared" si="251"/>
        <v>0</v>
      </c>
    </row>
    <row r="289" spans="2:27" x14ac:dyDescent="0.35">
      <c r="F289" s="28" t="s">
        <v>197</v>
      </c>
      <c r="G289" s="28" t="s">
        <v>283</v>
      </c>
      <c r="J289" s="121">
        <f t="shared" ref="J289:Y289" si="252">J246 * J$93</f>
        <v>1.3464461283220768</v>
      </c>
      <c r="K289" s="121">
        <f t="shared" si="252"/>
        <v>1.3464461283220768</v>
      </c>
      <c r="L289" s="121">
        <f t="shared" si="252"/>
        <v>1.545093945937662</v>
      </c>
      <c r="M289" s="121">
        <f t="shared" si="252"/>
        <v>1.545093945937662</v>
      </c>
      <c r="N289" s="121">
        <f t="shared" si="252"/>
        <v>1.3122767408573612</v>
      </c>
      <c r="O289" s="121">
        <f t="shared" si="252"/>
        <v>1.1195455114115362</v>
      </c>
      <c r="P289" s="121">
        <f t="shared" si="252"/>
        <v>1.1760841620712315</v>
      </c>
      <c r="Q289" s="121">
        <f t="shared" si="252"/>
        <v>0.88675660518173527</v>
      </c>
      <c r="R289" s="121">
        <f t="shared" si="252"/>
        <v>1.0408857682959762</v>
      </c>
      <c r="S289" s="121">
        <f t="shared" si="252"/>
        <v>1.0408857682959762</v>
      </c>
      <c r="T289" s="121">
        <f t="shared" si="252"/>
        <v>1.0408857682959762</v>
      </c>
      <c r="U289" s="121">
        <f t="shared" si="252"/>
        <v>1.0408857682959762</v>
      </c>
      <c r="V289" s="121">
        <f t="shared" si="252"/>
        <v>1.0408857682959762</v>
      </c>
      <c r="W289" s="121">
        <f t="shared" si="252"/>
        <v>1.0408857682959762</v>
      </c>
      <c r="X289" s="121">
        <f t="shared" si="252"/>
        <v>1.0408857682959762</v>
      </c>
      <c r="Y289" s="121">
        <f t="shared" si="252"/>
        <v>1.0408857682959762</v>
      </c>
    </row>
    <row r="290" spans="2:27" x14ac:dyDescent="0.35">
      <c r="F290" s="28" t="s">
        <v>198</v>
      </c>
      <c r="G290" s="28" t="s">
        <v>283</v>
      </c>
      <c r="J290" s="121">
        <f t="shared" ref="J290:Y290" si="253">J247 * J$93</f>
        <v>1.3464461283220768</v>
      </c>
      <c r="K290" s="121">
        <f t="shared" si="253"/>
        <v>1.3464461283220768</v>
      </c>
      <c r="L290" s="121">
        <f t="shared" si="253"/>
        <v>1.545093945937662</v>
      </c>
      <c r="M290" s="121">
        <f t="shared" si="253"/>
        <v>1.545093945937662</v>
      </c>
      <c r="N290" s="121">
        <f t="shared" si="253"/>
        <v>1.3122767408573612</v>
      </c>
      <c r="O290" s="121">
        <f t="shared" si="253"/>
        <v>1.1195455114115362</v>
      </c>
      <c r="P290" s="121">
        <f t="shared" si="253"/>
        <v>1.1760841620712315</v>
      </c>
      <c r="Q290" s="121">
        <f t="shared" si="253"/>
        <v>0.88675660518173527</v>
      </c>
      <c r="R290" s="121">
        <f t="shared" si="253"/>
        <v>1.0408857682959762</v>
      </c>
      <c r="S290" s="121">
        <f t="shared" si="253"/>
        <v>1.0408857682959762</v>
      </c>
      <c r="T290" s="121">
        <f t="shared" si="253"/>
        <v>1.0408857682959762</v>
      </c>
      <c r="U290" s="121">
        <f t="shared" si="253"/>
        <v>1.0408857682959762</v>
      </c>
      <c r="V290" s="121">
        <f t="shared" si="253"/>
        <v>1.0408857682959762</v>
      </c>
      <c r="W290" s="121">
        <f t="shared" si="253"/>
        <v>1.0408857682959762</v>
      </c>
      <c r="X290" s="121">
        <f t="shared" si="253"/>
        <v>1.0408857682959762</v>
      </c>
      <c r="Y290" s="121">
        <f t="shared" si="253"/>
        <v>1.0408857682959762</v>
      </c>
    </row>
    <row r="291" spans="2:27" x14ac:dyDescent="0.35">
      <c r="F291" s="67" t="s">
        <v>199</v>
      </c>
      <c r="G291" s="67" t="s">
        <v>283</v>
      </c>
      <c r="H291" s="37"/>
      <c r="I291" s="37"/>
      <c r="J291" s="131">
        <f t="shared" ref="J291:Y291" si="254">J248 * J$93</f>
        <v>1.3464461283220768</v>
      </c>
      <c r="K291" s="131">
        <f t="shared" si="254"/>
        <v>1.3464461283220768</v>
      </c>
      <c r="L291" s="131">
        <f t="shared" si="254"/>
        <v>1.545093945937662</v>
      </c>
      <c r="M291" s="131">
        <f t="shared" si="254"/>
        <v>1.545093945937662</v>
      </c>
      <c r="N291" s="131">
        <f t="shared" si="254"/>
        <v>1.3122767408573612</v>
      </c>
      <c r="O291" s="131">
        <f t="shared" si="254"/>
        <v>1.1195455114115362</v>
      </c>
      <c r="P291" s="131">
        <f t="shared" si="254"/>
        <v>1.1760841620712315</v>
      </c>
      <c r="Q291" s="131">
        <f t="shared" si="254"/>
        <v>0.88675660518173527</v>
      </c>
      <c r="R291" s="131">
        <f t="shared" si="254"/>
        <v>1.0408857682959762</v>
      </c>
      <c r="S291" s="131">
        <f t="shared" si="254"/>
        <v>1.0408857682959762</v>
      </c>
      <c r="T291" s="131">
        <f t="shared" si="254"/>
        <v>1.0408857682959762</v>
      </c>
      <c r="U291" s="131">
        <f t="shared" si="254"/>
        <v>1.0408857682959762</v>
      </c>
      <c r="V291" s="131">
        <f t="shared" si="254"/>
        <v>1.0408857682959762</v>
      </c>
      <c r="W291" s="131">
        <f t="shared" si="254"/>
        <v>1.0408857682959762</v>
      </c>
      <c r="X291" s="131">
        <f t="shared" si="254"/>
        <v>1.0408857682959762</v>
      </c>
      <c r="Y291" s="131">
        <f t="shared" si="254"/>
        <v>1.0408857682959762</v>
      </c>
    </row>
    <row r="292" spans="2:27" x14ac:dyDescent="0.35">
      <c r="J292" s="89"/>
      <c r="K292" s="89"/>
      <c r="L292" s="89"/>
      <c r="M292" s="89"/>
      <c r="N292" s="89"/>
      <c r="O292" s="89"/>
      <c r="P292" s="89"/>
      <c r="Q292" s="89"/>
      <c r="R292" s="89"/>
      <c r="S292" s="89"/>
      <c r="T292" s="89"/>
      <c r="U292" s="89"/>
      <c r="V292" s="89"/>
      <c r="W292" s="89"/>
      <c r="X292" s="89"/>
      <c r="Y292" s="89"/>
    </row>
    <row r="293" spans="2:27" x14ac:dyDescent="0.35">
      <c r="E293" s="32" t="s">
        <v>158</v>
      </c>
      <c r="F293" s="28"/>
      <c r="G293" s="28"/>
      <c r="J293" s="89"/>
      <c r="K293" s="89"/>
      <c r="L293" s="89"/>
      <c r="M293" s="89"/>
      <c r="N293" s="89"/>
      <c r="O293" s="89"/>
      <c r="P293" s="89"/>
      <c r="Q293" s="89"/>
      <c r="R293" s="89"/>
      <c r="S293" s="89"/>
      <c r="T293" s="89"/>
      <c r="U293" s="89"/>
      <c r="V293" s="89"/>
      <c r="W293" s="89"/>
      <c r="X293" s="89"/>
      <c r="Y293" s="89"/>
    </row>
    <row r="294" spans="2:27" x14ac:dyDescent="0.35">
      <c r="F294" s="64" t="s">
        <v>191</v>
      </c>
      <c r="G294" s="64" t="s">
        <v>283</v>
      </c>
      <c r="H294" s="23"/>
      <c r="I294" s="23"/>
      <c r="J294" s="101">
        <f>J251 * J$93</f>
        <v>0.47113235171517565</v>
      </c>
      <c r="K294" s="101">
        <f t="shared" ref="K294:Y294" si="255">K251 * K$93</f>
        <v>0.47113235171517565</v>
      </c>
      <c r="L294" s="101">
        <f t="shared" si="255"/>
        <v>0.54064082406152048</v>
      </c>
      <c r="M294" s="101">
        <f t="shared" si="255"/>
        <v>0.54064082406152048</v>
      </c>
      <c r="N294" s="101">
        <f t="shared" si="255"/>
        <v>0.4591762076598766</v>
      </c>
      <c r="O294" s="101">
        <f t="shared" si="255"/>
        <v>0.39173799719769881</v>
      </c>
      <c r="P294" s="101">
        <f t="shared" si="255"/>
        <v>0.41152132672555736</v>
      </c>
      <c r="Q294" s="101">
        <f t="shared" si="255"/>
        <v>0.28767351825463783</v>
      </c>
      <c r="R294" s="101">
        <f t="shared" si="255"/>
        <v>0.36421431913897989</v>
      </c>
      <c r="S294" s="101">
        <f t="shared" si="255"/>
        <v>0.36421431913897989</v>
      </c>
      <c r="T294" s="101">
        <f t="shared" si="255"/>
        <v>0.36421431913897989</v>
      </c>
      <c r="U294" s="101">
        <f t="shared" si="255"/>
        <v>0.36421431913897989</v>
      </c>
      <c r="V294" s="101">
        <f t="shared" si="255"/>
        <v>0.36421431913897989</v>
      </c>
      <c r="W294" s="101">
        <f t="shared" si="255"/>
        <v>0.36421431913897989</v>
      </c>
      <c r="X294" s="101">
        <f t="shared" si="255"/>
        <v>0.36421431913897989</v>
      </c>
      <c r="Y294" s="101">
        <f t="shared" si="255"/>
        <v>0.36421431913897989</v>
      </c>
    </row>
    <row r="295" spans="2:27" x14ac:dyDescent="0.35">
      <c r="F295" s="28" t="s">
        <v>192</v>
      </c>
      <c r="G295" s="28" t="s">
        <v>283</v>
      </c>
      <c r="J295" s="121">
        <f t="shared" ref="J295:Y295" si="256">J252 * J$93</f>
        <v>0</v>
      </c>
      <c r="K295" s="121">
        <f t="shared" si="256"/>
        <v>0</v>
      </c>
      <c r="L295" s="121">
        <f t="shared" si="256"/>
        <v>0</v>
      </c>
      <c r="M295" s="121">
        <f t="shared" si="256"/>
        <v>0</v>
      </c>
      <c r="N295" s="121">
        <f t="shared" si="256"/>
        <v>0</v>
      </c>
      <c r="O295" s="121">
        <f t="shared" si="256"/>
        <v>0</v>
      </c>
      <c r="P295" s="121">
        <f t="shared" si="256"/>
        <v>0</v>
      </c>
      <c r="Q295" s="121">
        <f t="shared" si="256"/>
        <v>0</v>
      </c>
      <c r="R295" s="121">
        <f t="shared" si="256"/>
        <v>0</v>
      </c>
      <c r="S295" s="121">
        <f t="shared" si="256"/>
        <v>0</v>
      </c>
      <c r="T295" s="121">
        <f t="shared" si="256"/>
        <v>0</v>
      </c>
      <c r="U295" s="121">
        <f t="shared" si="256"/>
        <v>0</v>
      </c>
      <c r="V295" s="121">
        <f t="shared" si="256"/>
        <v>0</v>
      </c>
      <c r="W295" s="121">
        <f t="shared" si="256"/>
        <v>0</v>
      </c>
      <c r="X295" s="121">
        <f t="shared" si="256"/>
        <v>0</v>
      </c>
      <c r="Y295" s="121">
        <f t="shared" si="256"/>
        <v>0</v>
      </c>
    </row>
    <row r="296" spans="2:27" x14ac:dyDescent="0.35">
      <c r="F296" s="28" t="s">
        <v>193</v>
      </c>
      <c r="G296" s="28" t="s">
        <v>283</v>
      </c>
      <c r="J296" s="121">
        <f t="shared" ref="J296:Y296" si="257">J253 * J$93</f>
        <v>0</v>
      </c>
      <c r="K296" s="121">
        <f t="shared" si="257"/>
        <v>0</v>
      </c>
      <c r="L296" s="121">
        <f t="shared" si="257"/>
        <v>0</v>
      </c>
      <c r="M296" s="121">
        <f t="shared" si="257"/>
        <v>0</v>
      </c>
      <c r="N296" s="121">
        <f t="shared" si="257"/>
        <v>0</v>
      </c>
      <c r="O296" s="121">
        <f t="shared" si="257"/>
        <v>0</v>
      </c>
      <c r="P296" s="121">
        <f t="shared" si="257"/>
        <v>0</v>
      </c>
      <c r="Q296" s="121">
        <f t="shared" si="257"/>
        <v>0</v>
      </c>
      <c r="R296" s="121">
        <f t="shared" si="257"/>
        <v>0</v>
      </c>
      <c r="S296" s="121">
        <f t="shared" si="257"/>
        <v>0</v>
      </c>
      <c r="T296" s="121">
        <f t="shared" si="257"/>
        <v>0</v>
      </c>
      <c r="U296" s="121">
        <f t="shared" si="257"/>
        <v>0</v>
      </c>
      <c r="V296" s="121">
        <f t="shared" si="257"/>
        <v>0</v>
      </c>
      <c r="W296" s="121">
        <f t="shared" si="257"/>
        <v>0</v>
      </c>
      <c r="X296" s="121">
        <f t="shared" si="257"/>
        <v>0</v>
      </c>
      <c r="Y296" s="121">
        <f t="shared" si="257"/>
        <v>0</v>
      </c>
    </row>
    <row r="297" spans="2:27" x14ac:dyDescent="0.35">
      <c r="F297" s="28" t="s">
        <v>194</v>
      </c>
      <c r="G297" s="28" t="s">
        <v>283</v>
      </c>
      <c r="J297" s="121">
        <f t="shared" ref="J297:Y297" si="258">J254 * J$93</f>
        <v>0.39769191197116682</v>
      </c>
      <c r="K297" s="121">
        <f t="shared" si="258"/>
        <v>0.39769191197116682</v>
      </c>
      <c r="L297" s="121">
        <f t="shared" si="258"/>
        <v>0.45636535514478366</v>
      </c>
      <c r="M297" s="121">
        <f t="shared" si="258"/>
        <v>0.45636535514478366</v>
      </c>
      <c r="N297" s="121">
        <f t="shared" si="258"/>
        <v>0.38759949999426835</v>
      </c>
      <c r="O297" s="121">
        <f t="shared" si="258"/>
        <v>0.33067360483767483</v>
      </c>
      <c r="P297" s="121">
        <f t="shared" si="258"/>
        <v>0.34737309515381881</v>
      </c>
      <c r="Q297" s="121">
        <f t="shared" si="258"/>
        <v>0.24283076948900209</v>
      </c>
      <c r="R297" s="121">
        <f t="shared" si="258"/>
        <v>0.30744033692091716</v>
      </c>
      <c r="S297" s="121">
        <f t="shared" si="258"/>
        <v>0.30744033692091716</v>
      </c>
      <c r="T297" s="121">
        <f t="shared" si="258"/>
        <v>0.30744033692091716</v>
      </c>
      <c r="U297" s="121">
        <f t="shared" si="258"/>
        <v>0.30744033692091716</v>
      </c>
      <c r="V297" s="121">
        <f t="shared" si="258"/>
        <v>0.30744033692091716</v>
      </c>
      <c r="W297" s="121">
        <f t="shared" si="258"/>
        <v>0.30744033692091716</v>
      </c>
      <c r="X297" s="121">
        <f t="shared" si="258"/>
        <v>0.30744033692091716</v>
      </c>
      <c r="Y297" s="121">
        <f t="shared" si="258"/>
        <v>0.30744033692091716</v>
      </c>
    </row>
    <row r="298" spans="2:27" x14ac:dyDescent="0.35">
      <c r="F298" s="28" t="s">
        <v>195</v>
      </c>
      <c r="G298" s="28" t="s">
        <v>283</v>
      </c>
      <c r="J298" s="121">
        <f t="shared" ref="J298:Y298" si="259">J255 * J$93</f>
        <v>0.39769191197116682</v>
      </c>
      <c r="K298" s="121">
        <f t="shared" si="259"/>
        <v>0.39769191197116682</v>
      </c>
      <c r="L298" s="121">
        <f t="shared" si="259"/>
        <v>0.45636535514478366</v>
      </c>
      <c r="M298" s="121">
        <f t="shared" si="259"/>
        <v>0.45636535514478366</v>
      </c>
      <c r="N298" s="121">
        <f t="shared" si="259"/>
        <v>0.38759949999426835</v>
      </c>
      <c r="O298" s="121">
        <f t="shared" si="259"/>
        <v>0.33067360483767483</v>
      </c>
      <c r="P298" s="121">
        <f t="shared" si="259"/>
        <v>0.34737309515381881</v>
      </c>
      <c r="Q298" s="121">
        <f t="shared" si="259"/>
        <v>0.24283076948900209</v>
      </c>
      <c r="R298" s="121">
        <f t="shared" si="259"/>
        <v>0.30744033692091716</v>
      </c>
      <c r="S298" s="121">
        <f t="shared" si="259"/>
        <v>0.30744033692091716</v>
      </c>
      <c r="T298" s="121">
        <f t="shared" si="259"/>
        <v>0.30744033692091716</v>
      </c>
      <c r="U298" s="121">
        <f t="shared" si="259"/>
        <v>0.30744033692091716</v>
      </c>
      <c r="V298" s="121">
        <f t="shared" si="259"/>
        <v>0.30744033692091716</v>
      </c>
      <c r="W298" s="121">
        <f t="shared" si="259"/>
        <v>0.30744033692091716</v>
      </c>
      <c r="X298" s="121">
        <f t="shared" si="259"/>
        <v>0.30744033692091716</v>
      </c>
      <c r="Y298" s="121">
        <f t="shared" si="259"/>
        <v>0.30744033692091716</v>
      </c>
    </row>
    <row r="299" spans="2:27" x14ac:dyDescent="0.35">
      <c r="F299" s="28" t="s">
        <v>196</v>
      </c>
      <c r="G299" s="28" t="s">
        <v>283</v>
      </c>
      <c r="J299" s="121">
        <f t="shared" ref="J299:Y299" si="260">J256 * J$93</f>
        <v>0</v>
      </c>
      <c r="K299" s="121">
        <f t="shared" si="260"/>
        <v>0</v>
      </c>
      <c r="L299" s="121">
        <f t="shared" si="260"/>
        <v>0</v>
      </c>
      <c r="M299" s="121">
        <f t="shared" si="260"/>
        <v>0</v>
      </c>
      <c r="N299" s="121">
        <f t="shared" si="260"/>
        <v>0</v>
      </c>
      <c r="O299" s="121">
        <f t="shared" si="260"/>
        <v>0</v>
      </c>
      <c r="P299" s="121">
        <f t="shared" si="260"/>
        <v>0</v>
      </c>
      <c r="Q299" s="121">
        <f t="shared" si="260"/>
        <v>0</v>
      </c>
      <c r="R299" s="121">
        <f t="shared" si="260"/>
        <v>0</v>
      </c>
      <c r="S299" s="121">
        <f t="shared" si="260"/>
        <v>0</v>
      </c>
      <c r="T299" s="121">
        <f t="shared" si="260"/>
        <v>0</v>
      </c>
      <c r="U299" s="121">
        <f t="shared" si="260"/>
        <v>0</v>
      </c>
      <c r="V299" s="121">
        <f t="shared" si="260"/>
        <v>0</v>
      </c>
      <c r="W299" s="121">
        <f t="shared" si="260"/>
        <v>0</v>
      </c>
      <c r="X299" s="121">
        <f t="shared" si="260"/>
        <v>0</v>
      </c>
      <c r="Y299" s="121">
        <f t="shared" si="260"/>
        <v>0</v>
      </c>
    </row>
    <row r="300" spans="2:27" x14ac:dyDescent="0.35">
      <c r="F300" s="28" t="s">
        <v>197</v>
      </c>
      <c r="G300" s="28" t="s">
        <v>283</v>
      </c>
      <c r="J300" s="121">
        <f t="shared" ref="J300:Y300" si="261">J257 * J$93</f>
        <v>0.45071750023398915</v>
      </c>
      <c r="K300" s="121">
        <f t="shared" si="261"/>
        <v>0.45071750023398915</v>
      </c>
      <c r="L300" s="121">
        <f t="shared" si="261"/>
        <v>0.5172140691640883</v>
      </c>
      <c r="M300" s="121">
        <f t="shared" si="261"/>
        <v>0.5172140691640883</v>
      </c>
      <c r="N300" s="121">
        <f t="shared" si="261"/>
        <v>0.4392794333268375</v>
      </c>
      <c r="O300" s="121">
        <f t="shared" si="261"/>
        <v>0.37476341881603153</v>
      </c>
      <c r="P300" s="121">
        <f t="shared" si="261"/>
        <v>0.39368950784099471</v>
      </c>
      <c r="Q300" s="121">
        <f t="shared" si="261"/>
        <v>0.2752082054208691</v>
      </c>
      <c r="R300" s="121">
        <f t="shared" si="261"/>
        <v>0.34843238184370617</v>
      </c>
      <c r="S300" s="121">
        <f t="shared" si="261"/>
        <v>0.34843238184370617</v>
      </c>
      <c r="T300" s="121">
        <f t="shared" si="261"/>
        <v>0.34843238184370617</v>
      </c>
      <c r="U300" s="121">
        <f t="shared" si="261"/>
        <v>0.34843238184370617</v>
      </c>
      <c r="V300" s="121">
        <f t="shared" si="261"/>
        <v>0.34843238184370617</v>
      </c>
      <c r="W300" s="121">
        <f t="shared" si="261"/>
        <v>0.34843238184370617</v>
      </c>
      <c r="X300" s="121">
        <f t="shared" si="261"/>
        <v>0.34843238184370617</v>
      </c>
      <c r="Y300" s="121">
        <f t="shared" si="261"/>
        <v>0.34843238184370617</v>
      </c>
    </row>
    <row r="301" spans="2:27" x14ac:dyDescent="0.35">
      <c r="F301" s="28" t="s">
        <v>198</v>
      </c>
      <c r="G301" s="28" t="s">
        <v>283</v>
      </c>
      <c r="J301" s="121">
        <f t="shared" ref="J301:Y301" si="262">J258 * J$93</f>
        <v>0.45071750023398915</v>
      </c>
      <c r="K301" s="121">
        <f t="shared" si="262"/>
        <v>0.45071750023398915</v>
      </c>
      <c r="L301" s="121">
        <f t="shared" si="262"/>
        <v>0.5172140691640883</v>
      </c>
      <c r="M301" s="121">
        <f t="shared" si="262"/>
        <v>0.5172140691640883</v>
      </c>
      <c r="N301" s="121">
        <f t="shared" si="262"/>
        <v>0.4392794333268375</v>
      </c>
      <c r="O301" s="121">
        <f t="shared" si="262"/>
        <v>0.37476341881603153</v>
      </c>
      <c r="P301" s="121">
        <f t="shared" si="262"/>
        <v>0.39368950784099471</v>
      </c>
      <c r="Q301" s="121">
        <f t="shared" si="262"/>
        <v>0.2752082054208691</v>
      </c>
      <c r="R301" s="121">
        <f t="shared" si="262"/>
        <v>0.34843238184370617</v>
      </c>
      <c r="S301" s="121">
        <f t="shared" si="262"/>
        <v>0.34843238184370617</v>
      </c>
      <c r="T301" s="121">
        <f t="shared" si="262"/>
        <v>0.34843238184370617</v>
      </c>
      <c r="U301" s="121">
        <f t="shared" si="262"/>
        <v>0.34843238184370617</v>
      </c>
      <c r="V301" s="121">
        <f t="shared" si="262"/>
        <v>0.34843238184370617</v>
      </c>
      <c r="W301" s="121">
        <f t="shared" si="262"/>
        <v>0.34843238184370617</v>
      </c>
      <c r="X301" s="121">
        <f t="shared" si="262"/>
        <v>0.34843238184370617</v>
      </c>
      <c r="Y301" s="121">
        <f t="shared" si="262"/>
        <v>0.34843238184370617</v>
      </c>
    </row>
    <row r="302" spans="2:27" x14ac:dyDescent="0.35">
      <c r="F302" s="67" t="s">
        <v>199</v>
      </c>
      <c r="G302" s="67" t="s">
        <v>283</v>
      </c>
      <c r="H302" s="37"/>
      <c r="I302" s="37"/>
      <c r="J302" s="131">
        <f t="shared" ref="J302:Y302" si="263">J259 * J$93</f>
        <v>0.45071750023398915</v>
      </c>
      <c r="K302" s="131">
        <f t="shared" si="263"/>
        <v>0.45071750023398915</v>
      </c>
      <c r="L302" s="131">
        <f t="shared" si="263"/>
        <v>0.5172140691640883</v>
      </c>
      <c r="M302" s="131">
        <f t="shared" si="263"/>
        <v>0.5172140691640883</v>
      </c>
      <c r="N302" s="131">
        <f t="shared" si="263"/>
        <v>0.4392794333268375</v>
      </c>
      <c r="O302" s="131">
        <f t="shared" si="263"/>
        <v>0.37476341881603153</v>
      </c>
      <c r="P302" s="131">
        <f t="shared" si="263"/>
        <v>0.39368950784099471</v>
      </c>
      <c r="Q302" s="131">
        <f t="shared" si="263"/>
        <v>0.2752082054208691</v>
      </c>
      <c r="R302" s="131">
        <f t="shared" si="263"/>
        <v>0.34843238184370617</v>
      </c>
      <c r="S302" s="131">
        <f t="shared" si="263"/>
        <v>0.34843238184370617</v>
      </c>
      <c r="T302" s="131">
        <f t="shared" si="263"/>
        <v>0.34843238184370617</v>
      </c>
      <c r="U302" s="131">
        <f t="shared" si="263"/>
        <v>0.34843238184370617</v>
      </c>
      <c r="V302" s="131">
        <f t="shared" si="263"/>
        <v>0.34843238184370617</v>
      </c>
      <c r="W302" s="131">
        <f t="shared" si="263"/>
        <v>0.34843238184370617</v>
      </c>
      <c r="X302" s="131">
        <f t="shared" si="263"/>
        <v>0.34843238184370617</v>
      </c>
      <c r="Y302" s="131">
        <f t="shared" si="263"/>
        <v>0.34843238184370617</v>
      </c>
    </row>
    <row r="304" spans="2:27" x14ac:dyDescent="0.35">
      <c r="B304" s="30" t="s">
        <v>231</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35">
      <c r="E306" t="s">
        <v>232</v>
      </c>
      <c r="G306" s="6" t="s">
        <v>55</v>
      </c>
      <c r="H306" s="103">
        <f t="array" ref="H306">SUM(IF(ISERROR(H20:Y302), 1))</f>
        <v>0</v>
      </c>
    </row>
    <row r="308" spans="2:27" x14ac:dyDescent="0.35">
      <c r="B308" s="30" t="s">
        <v>106</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7265625" hidden="1"/>
  </cols>
  <sheetData>
    <row r="1" spans="1:43" s="1" customFormat="1" x14ac:dyDescent="0.35">
      <c r="A1" s="1" t="str">
        <f ca="1">MID(CELL("filename",A1),FIND("]",CELL("filename",A1))+1,255)</f>
        <v>System peak demand</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H281 &amp; IF(H281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5">
      <c r="C9" s="29" t="s">
        <v>490</v>
      </c>
      <c r="D9" s="29"/>
    </row>
    <row r="10" spans="1:43" x14ac:dyDescent="0.35">
      <c r="C10" s="29" t="s">
        <v>491</v>
      </c>
      <c r="D10" s="29"/>
    </row>
    <row r="11" spans="1:43" x14ac:dyDescent="0.35">
      <c r="C11" s="29" t="s">
        <v>492</v>
      </c>
      <c r="D11" s="29"/>
    </row>
    <row r="12" spans="1:43" x14ac:dyDescent="0.35">
      <c r="C12" s="29"/>
      <c r="D12" s="29" t="s">
        <v>493</v>
      </c>
    </row>
    <row r="13" spans="1:43" x14ac:dyDescent="0.35">
      <c r="C13" s="29"/>
      <c r="D13" s="29" t="s">
        <v>494</v>
      </c>
    </row>
    <row r="14" spans="1:43" x14ac:dyDescent="0.35">
      <c r="C14" s="29"/>
      <c r="D14" s="29" t="s">
        <v>495</v>
      </c>
    </row>
    <row r="16" spans="1:43" x14ac:dyDescent="0.35">
      <c r="B16" s="30" t="s">
        <v>496</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35">
      <c r="C17" s="32"/>
      <c r="AQ17" s="3"/>
    </row>
    <row r="18" spans="3:43" x14ac:dyDescent="0.3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35">
      <c r="H19" s="63"/>
      <c r="J19" s="63"/>
      <c r="K19" s="63"/>
      <c r="L19" s="63"/>
      <c r="M19" s="63"/>
      <c r="N19" s="63"/>
      <c r="O19" s="63"/>
      <c r="P19" s="63"/>
      <c r="Q19" s="63"/>
      <c r="R19" s="63"/>
      <c r="S19" s="63"/>
      <c r="T19" s="63"/>
      <c r="U19" s="63"/>
      <c r="V19" s="63"/>
      <c r="W19" s="63"/>
      <c r="X19" s="63"/>
      <c r="Y19" s="63"/>
    </row>
    <row r="20" spans="3:43" x14ac:dyDescent="0.35">
      <c r="D20" s="29" t="s">
        <v>497</v>
      </c>
      <c r="AQ20" s="3"/>
    </row>
    <row r="21" spans="3:43" x14ac:dyDescent="0.35">
      <c r="C21" s="32"/>
      <c r="AQ21" s="3"/>
    </row>
    <row r="22" spans="3:43" x14ac:dyDescent="0.35">
      <c r="E22" s="32" t="s">
        <v>378</v>
      </c>
      <c r="H22" s="14"/>
      <c r="J22" s="63"/>
      <c r="L22" s="63"/>
      <c r="AQ22" s="3"/>
    </row>
    <row r="23" spans="3:43" x14ac:dyDescent="0.35">
      <c r="E23" s="32"/>
      <c r="F23" s="23" t="s">
        <v>191</v>
      </c>
      <c r="G23" s="23" t="s">
        <v>167</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35">
      <c r="E24" s="32"/>
      <c r="F24" t="s">
        <v>192</v>
      </c>
      <c r="G24" t="s">
        <v>167</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35">
      <c r="E25" s="32"/>
      <c r="F25" t="s">
        <v>193</v>
      </c>
      <c r="G25" t="s">
        <v>167</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35">
      <c r="E26" s="32"/>
      <c r="F26" t="s">
        <v>194</v>
      </c>
      <c r="G26" t="s">
        <v>167</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35">
      <c r="E27" s="32"/>
      <c r="F27" t="s">
        <v>195</v>
      </c>
      <c r="G27" t="s">
        <v>167</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35">
      <c r="E28" s="32"/>
      <c r="F28" t="s">
        <v>196</v>
      </c>
      <c r="G28" t="s">
        <v>167</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35">
      <c r="E29" s="32"/>
      <c r="F29" t="s">
        <v>197</v>
      </c>
      <c r="G29" t="s">
        <v>167</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35">
      <c r="E30" s="32"/>
      <c r="F30" t="s">
        <v>198</v>
      </c>
      <c r="G30" t="s">
        <v>167</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35">
      <c r="E31" s="32"/>
      <c r="F31" s="37" t="s">
        <v>199</v>
      </c>
      <c r="G31" s="37" t="s">
        <v>167</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35">
      <c r="E32" s="32"/>
      <c r="J32" s="63"/>
      <c r="K32" s="63"/>
      <c r="L32" s="63"/>
      <c r="M32" s="63"/>
      <c r="N32" s="63"/>
      <c r="O32" s="63"/>
      <c r="P32" s="63"/>
      <c r="Q32" s="63"/>
      <c r="R32" s="63"/>
      <c r="S32" s="63"/>
      <c r="T32" s="63"/>
      <c r="U32" s="63"/>
      <c r="V32" s="63"/>
      <c r="W32" s="63"/>
      <c r="X32" s="63"/>
      <c r="Y32" s="63"/>
      <c r="AQ32" s="3"/>
    </row>
    <row r="33" spans="5:43" x14ac:dyDescent="0.35">
      <c r="E33" s="32" t="s">
        <v>498</v>
      </c>
      <c r="I33" t="s">
        <v>154</v>
      </c>
      <c r="J33" s="63"/>
      <c r="K33" s="63"/>
      <c r="L33" s="63"/>
      <c r="M33" s="63"/>
      <c r="N33" s="63"/>
      <c r="O33" s="63"/>
      <c r="P33" s="63"/>
      <c r="Q33" s="63"/>
      <c r="R33" s="63"/>
      <c r="S33" s="63"/>
      <c r="T33" s="63"/>
      <c r="U33" s="63"/>
      <c r="V33" s="63"/>
      <c r="W33" s="63"/>
      <c r="X33" s="63"/>
      <c r="Y33" s="63"/>
      <c r="AA33" t="s">
        <v>499</v>
      </c>
      <c r="AQ33" s="3"/>
    </row>
    <row r="34" spans="5:43" x14ac:dyDescent="0.35">
      <c r="E34" s="32"/>
      <c r="F34" s="23" t="s">
        <v>191</v>
      </c>
      <c r="G34" s="23" t="s">
        <v>283</v>
      </c>
      <c r="H34" s="158"/>
      <c r="I34" s="158"/>
      <c r="J34" s="124">
        <f t="array" ref="J34:Y42">TRANSPOSE('Load &amp; loss characteristics'!K145:S160)</f>
        <v>1.099</v>
      </c>
      <c r="K34" s="124">
        <v>1.099</v>
      </c>
      <c r="L34" s="124">
        <v>1.099</v>
      </c>
      <c r="M34" s="124">
        <v>1.099</v>
      </c>
      <c r="N34" s="124">
        <v>1.099</v>
      </c>
      <c r="O34" s="124">
        <v>1.0609999999999999</v>
      </c>
      <c r="P34" s="124">
        <v>1.0369999999999999</v>
      </c>
      <c r="Q34" s="124">
        <v>1.099</v>
      </c>
      <c r="R34" s="124">
        <v>-1.099</v>
      </c>
      <c r="S34" s="124">
        <v>-1.0609999999999999</v>
      </c>
      <c r="T34" s="124">
        <v>-1.099</v>
      </c>
      <c r="U34" s="124">
        <v>-1.099</v>
      </c>
      <c r="V34" s="124">
        <v>-1.0609999999999999</v>
      </c>
      <c r="W34" s="124">
        <v>-1.0609999999999999</v>
      </c>
      <c r="X34" s="124">
        <v>-1.0369999999999999</v>
      </c>
      <c r="Y34" s="124">
        <v>-1.0369999999999999</v>
      </c>
      <c r="AQ34" s="3"/>
    </row>
    <row r="35" spans="5:43" x14ac:dyDescent="0.35">
      <c r="E35" s="32"/>
      <c r="F35" t="s">
        <v>192</v>
      </c>
      <c r="G35" t="s">
        <v>283</v>
      </c>
      <c r="H35" s="89"/>
      <c r="I35" s="89"/>
      <c r="J35" s="120">
        <v>1.099</v>
      </c>
      <c r="K35" s="120">
        <v>1.099</v>
      </c>
      <c r="L35" s="120">
        <v>1.099</v>
      </c>
      <c r="M35" s="120">
        <v>1.099</v>
      </c>
      <c r="N35" s="120">
        <v>1.099</v>
      </c>
      <c r="O35" s="120">
        <v>1.0609999999999999</v>
      </c>
      <c r="P35" s="120">
        <v>1.0369999999999999</v>
      </c>
      <c r="Q35" s="120">
        <v>1.099</v>
      </c>
      <c r="R35" s="120">
        <v>-1.099</v>
      </c>
      <c r="S35" s="120">
        <v>-1.0609999999999999</v>
      </c>
      <c r="T35" s="120">
        <v>-1.099</v>
      </c>
      <c r="U35" s="120">
        <v>-1.099</v>
      </c>
      <c r="V35" s="120">
        <v>-1.0609999999999999</v>
      </c>
      <c r="W35" s="120">
        <v>-1.0609999999999999</v>
      </c>
      <c r="X35" s="120">
        <v>-1.0369999999999999</v>
      </c>
      <c r="Y35" s="120">
        <v>-1.0369999999999999</v>
      </c>
      <c r="AQ35" s="3"/>
    </row>
    <row r="36" spans="5:43" x14ac:dyDescent="0.35">
      <c r="E36" s="32"/>
      <c r="F36" t="s">
        <v>193</v>
      </c>
      <c r="G36" t="s">
        <v>283</v>
      </c>
      <c r="H36" s="89"/>
      <c r="I36" s="89"/>
      <c r="J36" s="120">
        <v>1.099</v>
      </c>
      <c r="K36" s="120">
        <v>1.099</v>
      </c>
      <c r="L36" s="120">
        <v>1.099</v>
      </c>
      <c r="M36" s="120">
        <v>1.099</v>
      </c>
      <c r="N36" s="120">
        <v>1.099</v>
      </c>
      <c r="O36" s="120">
        <v>1.0609999999999999</v>
      </c>
      <c r="P36" s="120">
        <v>1.0369999999999999</v>
      </c>
      <c r="Q36" s="120">
        <v>1.099</v>
      </c>
      <c r="R36" s="120">
        <v>-1.099</v>
      </c>
      <c r="S36" s="120">
        <v>-1.0609999999999999</v>
      </c>
      <c r="T36" s="120">
        <v>-1.099</v>
      </c>
      <c r="U36" s="120">
        <v>-1.099</v>
      </c>
      <c r="V36" s="120">
        <v>-1.0609999999999999</v>
      </c>
      <c r="W36" s="120">
        <v>-1.0609999999999999</v>
      </c>
      <c r="X36" s="120">
        <v>-1.0369999999999999</v>
      </c>
      <c r="Y36" s="120">
        <v>-1.0369999999999999</v>
      </c>
      <c r="AQ36" s="3"/>
    </row>
    <row r="37" spans="5:43" x14ac:dyDescent="0.35">
      <c r="E37" s="32"/>
      <c r="F37" t="s">
        <v>194</v>
      </c>
      <c r="G37" t="s">
        <v>283</v>
      </c>
      <c r="H37" s="89"/>
      <c r="I37" s="89"/>
      <c r="J37" s="120">
        <v>1.099</v>
      </c>
      <c r="K37" s="120">
        <v>1.099</v>
      </c>
      <c r="L37" s="120">
        <v>1.099</v>
      </c>
      <c r="M37" s="120">
        <v>1.099</v>
      </c>
      <c r="N37" s="120">
        <v>1.099</v>
      </c>
      <c r="O37" s="120">
        <v>1.0609999999999999</v>
      </c>
      <c r="P37" s="120">
        <v>1.0369999999999999</v>
      </c>
      <c r="Q37" s="120">
        <v>1.099</v>
      </c>
      <c r="R37" s="120">
        <v>-1.099</v>
      </c>
      <c r="S37" s="120">
        <v>-1.0609999999999999</v>
      </c>
      <c r="T37" s="120">
        <v>-1.099</v>
      </c>
      <c r="U37" s="120">
        <v>-1.099</v>
      </c>
      <c r="V37" s="120">
        <v>-1.0609999999999999</v>
      </c>
      <c r="W37" s="120">
        <v>-1.0609999999999999</v>
      </c>
      <c r="X37" s="120">
        <v>-1.0369999999999999</v>
      </c>
      <c r="Y37" s="120">
        <v>-1.0369999999999999</v>
      </c>
      <c r="AQ37" s="3"/>
    </row>
    <row r="38" spans="5:43" x14ac:dyDescent="0.35">
      <c r="E38" s="32"/>
      <c r="F38" t="s">
        <v>195</v>
      </c>
      <c r="G38" t="s">
        <v>283</v>
      </c>
      <c r="H38" s="89"/>
      <c r="I38" s="89"/>
      <c r="J38" s="120">
        <v>1.099</v>
      </c>
      <c r="K38" s="120">
        <v>1.099</v>
      </c>
      <c r="L38" s="120">
        <v>1.099</v>
      </c>
      <c r="M38" s="120">
        <v>1.099</v>
      </c>
      <c r="N38" s="120">
        <v>1.099</v>
      </c>
      <c r="O38" s="120">
        <v>1.0609999999999999</v>
      </c>
      <c r="P38" s="120">
        <v>1.0369999999999999</v>
      </c>
      <c r="Q38" s="120">
        <v>1.099</v>
      </c>
      <c r="R38" s="120">
        <v>-1.099</v>
      </c>
      <c r="S38" s="120">
        <v>-1.0609999999999999</v>
      </c>
      <c r="T38" s="120">
        <v>-1.099</v>
      </c>
      <c r="U38" s="120">
        <v>-1.099</v>
      </c>
      <c r="V38" s="120">
        <v>-1.0609999999999999</v>
      </c>
      <c r="W38" s="120">
        <v>-1.0609999999999999</v>
      </c>
      <c r="X38" s="120">
        <v>-1.0369999999999999</v>
      </c>
      <c r="Y38" s="120">
        <v>-1.0369999999999999</v>
      </c>
      <c r="AQ38" s="3"/>
    </row>
    <row r="39" spans="5:43" x14ac:dyDescent="0.35">
      <c r="E39" s="32"/>
      <c r="F39" t="s">
        <v>196</v>
      </c>
      <c r="G39" t="s">
        <v>283</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35">
      <c r="E40" s="32"/>
      <c r="F40" t="s">
        <v>197</v>
      </c>
      <c r="G40" t="s">
        <v>283</v>
      </c>
      <c r="H40" s="89"/>
      <c r="I40" s="89"/>
      <c r="J40" s="120">
        <v>1.099</v>
      </c>
      <c r="K40" s="120">
        <v>1.099</v>
      </c>
      <c r="L40" s="120">
        <v>1.099</v>
      </c>
      <c r="M40" s="120">
        <v>1.099</v>
      </c>
      <c r="N40" s="120">
        <v>1.099</v>
      </c>
      <c r="O40" s="120">
        <v>1.0609999999999999</v>
      </c>
      <c r="P40" s="120">
        <v>1.0369999999999999</v>
      </c>
      <c r="Q40" s="120">
        <v>1.099</v>
      </c>
      <c r="R40" s="120">
        <v>-1.099</v>
      </c>
      <c r="S40" s="120">
        <v>-1.0609999999999999</v>
      </c>
      <c r="T40" s="120">
        <v>-1.099</v>
      </c>
      <c r="U40" s="120">
        <v>-1.099</v>
      </c>
      <c r="V40" s="120">
        <v>-1.0609999999999999</v>
      </c>
      <c r="W40" s="120">
        <v>-1.0609999999999999</v>
      </c>
      <c r="X40" s="120">
        <v>0</v>
      </c>
      <c r="Y40" s="120">
        <v>0</v>
      </c>
      <c r="AQ40" s="3"/>
    </row>
    <row r="41" spans="5:43" x14ac:dyDescent="0.35">
      <c r="E41" s="32"/>
      <c r="F41" t="s">
        <v>198</v>
      </c>
      <c r="G41" t="s">
        <v>283</v>
      </c>
      <c r="H41" s="89"/>
      <c r="I41" s="89"/>
      <c r="J41" s="120">
        <v>1.099</v>
      </c>
      <c r="K41" s="120">
        <v>1.099</v>
      </c>
      <c r="L41" s="120">
        <v>1.099</v>
      </c>
      <c r="M41" s="120">
        <v>1.099</v>
      </c>
      <c r="N41" s="120">
        <v>1.099</v>
      </c>
      <c r="O41" s="120">
        <v>1.0609999999999999</v>
      </c>
      <c r="P41" s="120">
        <v>0</v>
      </c>
      <c r="Q41" s="120">
        <v>1.099</v>
      </c>
      <c r="R41" s="120">
        <v>-1.099</v>
      </c>
      <c r="S41" s="120">
        <v>0</v>
      </c>
      <c r="T41" s="120">
        <v>-1.099</v>
      </c>
      <c r="U41" s="120">
        <v>-1.099</v>
      </c>
      <c r="V41" s="120">
        <v>0</v>
      </c>
      <c r="W41" s="120">
        <v>0</v>
      </c>
      <c r="X41" s="120">
        <v>0</v>
      </c>
      <c r="Y41" s="120">
        <v>0</v>
      </c>
      <c r="AQ41" s="3"/>
    </row>
    <row r="42" spans="5:43" x14ac:dyDescent="0.35">
      <c r="E42" s="32"/>
      <c r="F42" s="37" t="s">
        <v>199</v>
      </c>
      <c r="G42" s="37" t="s">
        <v>283</v>
      </c>
      <c r="H42" s="82"/>
      <c r="I42" s="82"/>
      <c r="J42" s="125">
        <v>1.099</v>
      </c>
      <c r="K42" s="125">
        <v>1.099</v>
      </c>
      <c r="L42" s="125">
        <v>1.099</v>
      </c>
      <c r="M42" s="125">
        <v>1.099</v>
      </c>
      <c r="N42" s="125">
        <v>1.099</v>
      </c>
      <c r="O42" s="125">
        <v>0</v>
      </c>
      <c r="P42" s="125">
        <v>0</v>
      </c>
      <c r="Q42" s="125">
        <v>1.099</v>
      </c>
      <c r="R42" s="125">
        <v>0</v>
      </c>
      <c r="S42" s="125">
        <v>0</v>
      </c>
      <c r="T42" s="125">
        <v>0</v>
      </c>
      <c r="U42" s="125">
        <v>0</v>
      </c>
      <c r="V42" s="125">
        <v>0</v>
      </c>
      <c r="W42" s="125">
        <v>0</v>
      </c>
      <c r="X42" s="125">
        <v>0</v>
      </c>
      <c r="Y42" s="125">
        <v>0</v>
      </c>
      <c r="AQ42" s="3"/>
    </row>
    <row r="43" spans="5:43" x14ac:dyDescent="0.35">
      <c r="E43" s="32"/>
      <c r="H43" s="89"/>
      <c r="I43" s="89"/>
      <c r="J43" s="89"/>
      <c r="K43" s="89"/>
      <c r="L43" s="89"/>
      <c r="M43" s="89"/>
      <c r="N43" s="89"/>
      <c r="O43" s="89"/>
      <c r="P43" s="89"/>
      <c r="Q43" s="89"/>
      <c r="R43" s="89"/>
      <c r="S43" s="89"/>
      <c r="T43" s="89"/>
      <c r="U43" s="89"/>
      <c r="V43" s="89"/>
      <c r="W43" s="89"/>
      <c r="X43" s="89"/>
      <c r="Y43" s="89"/>
      <c r="AQ43" s="3"/>
    </row>
    <row r="44" spans="5:43" x14ac:dyDescent="0.35">
      <c r="E44" s="32" t="s">
        <v>500</v>
      </c>
      <c r="H44" s="89"/>
      <c r="I44" s="89"/>
      <c r="J44" s="89"/>
      <c r="K44" s="89"/>
      <c r="L44" s="89"/>
      <c r="M44" s="89"/>
      <c r="N44" s="89"/>
      <c r="O44" s="89"/>
      <c r="P44" s="89"/>
      <c r="Q44" s="89"/>
      <c r="R44" s="89"/>
      <c r="S44" s="89"/>
      <c r="T44" s="89"/>
      <c r="U44" s="89"/>
      <c r="V44" s="89"/>
      <c r="W44" s="89"/>
      <c r="X44" s="89"/>
      <c r="Y44" s="89"/>
      <c r="AQ44" s="3"/>
    </row>
    <row r="45" spans="5:43" x14ac:dyDescent="0.35">
      <c r="E45" s="32"/>
      <c r="F45" s="23" t="s">
        <v>191</v>
      </c>
      <c r="G45" s="23" t="s">
        <v>283</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35">
      <c r="E46" s="32"/>
      <c r="F46" t="s">
        <v>192</v>
      </c>
      <c r="G46" t="s">
        <v>283</v>
      </c>
      <c r="H46" s="120">
        <f>'Load &amp; loss characteristics'!L29</f>
        <v>1</v>
      </c>
      <c r="I46" s="89"/>
      <c r="J46" s="89"/>
      <c r="K46" s="89"/>
      <c r="L46" s="89"/>
      <c r="M46" s="89"/>
      <c r="N46" s="89"/>
      <c r="O46" s="89"/>
      <c r="P46" s="89"/>
      <c r="Q46" s="89"/>
      <c r="R46" s="89"/>
      <c r="S46" s="89"/>
      <c r="T46" s="89"/>
      <c r="U46" s="89"/>
      <c r="V46" s="89"/>
      <c r="W46" s="89"/>
      <c r="X46" s="89"/>
      <c r="Y46" s="89"/>
      <c r="AQ46" s="3"/>
    </row>
    <row r="47" spans="5:43" x14ac:dyDescent="0.35">
      <c r="E47" s="32"/>
      <c r="F47" t="s">
        <v>193</v>
      </c>
      <c r="G47" t="s">
        <v>283</v>
      </c>
      <c r="H47" s="120">
        <f>'Load &amp; loss characteristics'!M29</f>
        <v>1</v>
      </c>
      <c r="I47" s="89"/>
      <c r="J47" s="89"/>
      <c r="K47" s="89"/>
      <c r="L47" s="89"/>
      <c r="M47" s="89"/>
      <c r="N47" s="89"/>
      <c r="O47" s="89"/>
      <c r="P47" s="89"/>
      <c r="Q47" s="89"/>
      <c r="R47" s="89"/>
      <c r="S47" s="89"/>
      <c r="T47" s="89"/>
      <c r="U47" s="89"/>
      <c r="V47" s="89"/>
      <c r="W47" s="89"/>
      <c r="X47" s="89"/>
      <c r="Y47" s="89"/>
      <c r="AQ47" s="3"/>
    </row>
    <row r="48" spans="5:43" x14ac:dyDescent="0.35">
      <c r="E48" s="32"/>
      <c r="F48" t="s">
        <v>194</v>
      </c>
      <c r="G48" t="s">
        <v>283</v>
      </c>
      <c r="H48" s="120">
        <f>'Load &amp; loss characteristics'!N29</f>
        <v>1.0149999999999999</v>
      </c>
      <c r="I48" s="89"/>
      <c r="J48" s="89"/>
      <c r="K48" s="89"/>
      <c r="L48" s="89"/>
      <c r="M48" s="89"/>
      <c r="N48" s="89"/>
      <c r="O48" s="89"/>
      <c r="P48" s="89"/>
      <c r="Q48" s="89"/>
      <c r="R48" s="89"/>
      <c r="S48" s="89"/>
      <c r="T48" s="89"/>
      <c r="U48" s="89"/>
      <c r="V48" s="89"/>
      <c r="W48" s="89"/>
      <c r="X48" s="89"/>
      <c r="Y48" s="89"/>
      <c r="AQ48" s="3"/>
    </row>
    <row r="49" spans="2:43" x14ac:dyDescent="0.35">
      <c r="E49" s="32"/>
      <c r="F49" t="s">
        <v>195</v>
      </c>
      <c r="G49" t="s">
        <v>283</v>
      </c>
      <c r="H49" s="120">
        <f>'Load &amp; loss characteristics'!O29</f>
        <v>1.028</v>
      </c>
      <c r="I49" s="89"/>
      <c r="J49" s="89"/>
      <c r="K49" s="89"/>
      <c r="L49" s="89"/>
      <c r="M49" s="89"/>
      <c r="N49" s="89"/>
      <c r="O49" s="89"/>
      <c r="P49" s="89"/>
      <c r="Q49" s="89"/>
      <c r="R49" s="89"/>
      <c r="S49" s="89"/>
      <c r="T49" s="89"/>
      <c r="U49" s="89"/>
      <c r="V49" s="89"/>
      <c r="W49" s="89"/>
      <c r="X49" s="89"/>
      <c r="Y49" s="89"/>
      <c r="AQ49" s="3"/>
    </row>
    <row r="50" spans="2:43" x14ac:dyDescent="0.35">
      <c r="E50" s="32"/>
      <c r="F50" t="s">
        <v>196</v>
      </c>
      <c r="G50" t="s">
        <v>283</v>
      </c>
      <c r="H50" s="120">
        <f>'Load &amp; loss characteristics'!P29</f>
        <v>1.028</v>
      </c>
      <c r="I50" s="89"/>
      <c r="J50" s="89"/>
      <c r="K50" s="89"/>
      <c r="L50" s="89"/>
      <c r="M50" s="89"/>
      <c r="N50" s="89"/>
      <c r="O50" s="89"/>
      <c r="P50" s="89"/>
      <c r="Q50" s="89"/>
      <c r="R50" s="89"/>
      <c r="S50" s="89"/>
      <c r="T50" s="89"/>
      <c r="U50" s="89"/>
      <c r="V50" s="89"/>
      <c r="W50" s="89"/>
      <c r="X50" s="89"/>
      <c r="Y50" s="89"/>
      <c r="AQ50" s="3"/>
    </row>
    <row r="51" spans="2:43" x14ac:dyDescent="0.35">
      <c r="E51" s="32"/>
      <c r="F51" t="s">
        <v>197</v>
      </c>
      <c r="G51" t="s">
        <v>283</v>
      </c>
      <c r="H51" s="120">
        <f>'Load &amp; loss characteristics'!Q29</f>
        <v>1.0369999999999999</v>
      </c>
      <c r="I51" s="89"/>
      <c r="J51" s="89"/>
      <c r="K51" s="89"/>
      <c r="L51" s="89"/>
      <c r="M51" s="89"/>
      <c r="N51" s="89"/>
      <c r="O51" s="89"/>
      <c r="P51" s="89"/>
      <c r="Q51" s="89"/>
      <c r="R51" s="89"/>
      <c r="S51" s="89"/>
      <c r="T51" s="89"/>
      <c r="U51" s="89"/>
      <c r="V51" s="89"/>
      <c r="W51" s="89"/>
      <c r="X51" s="89"/>
      <c r="Y51" s="89"/>
      <c r="AQ51" s="3"/>
    </row>
    <row r="52" spans="2:43" x14ac:dyDescent="0.35">
      <c r="E52" s="32"/>
      <c r="F52" t="s">
        <v>198</v>
      </c>
      <c r="G52" t="s">
        <v>283</v>
      </c>
      <c r="H52" s="120">
        <f>'Load &amp; loss characteristics'!R29</f>
        <v>1.0609999999999999</v>
      </c>
      <c r="I52" s="89"/>
      <c r="J52" s="89"/>
      <c r="K52" s="89"/>
      <c r="L52" s="89"/>
      <c r="M52" s="89"/>
      <c r="N52" s="89"/>
      <c r="O52" s="89"/>
      <c r="P52" s="89"/>
      <c r="Q52" s="89"/>
      <c r="R52" s="89"/>
      <c r="S52" s="89"/>
      <c r="T52" s="89"/>
      <c r="U52" s="89"/>
      <c r="V52" s="89"/>
      <c r="W52" s="89"/>
      <c r="X52" s="89"/>
      <c r="Y52" s="89"/>
      <c r="AQ52" s="3"/>
    </row>
    <row r="53" spans="2:43" x14ac:dyDescent="0.35">
      <c r="E53" s="32"/>
      <c r="F53" s="37" t="s">
        <v>199</v>
      </c>
      <c r="G53" s="37" t="s">
        <v>283</v>
      </c>
      <c r="H53" s="125">
        <f>'Load &amp; loss characteristics'!S29</f>
        <v>1.099</v>
      </c>
      <c r="I53" s="89"/>
      <c r="J53" s="89"/>
      <c r="K53" s="89"/>
      <c r="L53" s="89"/>
      <c r="M53" s="89"/>
      <c r="N53" s="89"/>
      <c r="O53" s="89"/>
      <c r="P53" s="89"/>
      <c r="Q53" s="89"/>
      <c r="R53" s="89"/>
      <c r="S53" s="89"/>
      <c r="T53" s="89"/>
      <c r="U53" s="89"/>
      <c r="V53" s="89"/>
      <c r="W53" s="89"/>
      <c r="X53" s="89"/>
      <c r="Y53" s="89"/>
      <c r="AQ53" s="3"/>
    </row>
    <row r="54" spans="2:43" x14ac:dyDescent="0.35">
      <c r="E54" s="32"/>
      <c r="H54" s="89"/>
      <c r="I54" s="89"/>
      <c r="J54" s="89"/>
      <c r="K54" s="89"/>
      <c r="L54" s="89"/>
      <c r="M54" s="89"/>
      <c r="N54" s="89"/>
      <c r="O54" s="89"/>
      <c r="P54" s="89"/>
      <c r="Q54" s="89"/>
      <c r="R54" s="89"/>
      <c r="S54" s="89"/>
      <c r="T54" s="89"/>
      <c r="U54" s="89"/>
      <c r="V54" s="89"/>
      <c r="W54" s="89"/>
      <c r="X54" s="89"/>
      <c r="Y54" s="89"/>
      <c r="AQ54" s="3"/>
    </row>
    <row r="55" spans="2:43" x14ac:dyDescent="0.35">
      <c r="E55" s="32" t="s">
        <v>501</v>
      </c>
      <c r="H55" s="89"/>
      <c r="I55" s="89" t="s">
        <v>154</v>
      </c>
      <c r="J55" s="89"/>
      <c r="K55" s="89"/>
      <c r="L55" s="89"/>
      <c r="M55" s="89"/>
      <c r="N55" s="89"/>
      <c r="O55" s="89"/>
      <c r="P55" s="89"/>
      <c r="Q55" s="89"/>
      <c r="R55" s="89"/>
      <c r="S55" s="89"/>
      <c r="T55" s="89"/>
      <c r="U55" s="89"/>
      <c r="V55" s="89"/>
      <c r="W55" s="89"/>
      <c r="X55" s="89"/>
      <c r="Y55" s="89"/>
      <c r="AA55" t="s">
        <v>502</v>
      </c>
    </row>
    <row r="56" spans="2:43" x14ac:dyDescent="0.35">
      <c r="E56" s="32"/>
      <c r="F56" s="23" t="s">
        <v>156</v>
      </c>
      <c r="G56" s="23" t="s">
        <v>207</v>
      </c>
      <c r="H56" s="158"/>
      <c r="I56" s="158"/>
      <c r="J56" s="124">
        <f>'Volume adjustments'!J238</f>
        <v>324470.38323020173</v>
      </c>
      <c r="K56" s="124">
        <f>'Volume adjustments'!K238</f>
        <v>9396.1650095049135</v>
      </c>
      <c r="L56" s="124">
        <f>'Volume adjustments'!L238</f>
        <v>103938.13739618154</v>
      </c>
      <c r="M56" s="124">
        <f>'Volume adjustments'!M238</f>
        <v>454.90419700623829</v>
      </c>
      <c r="N56" s="124">
        <f>'Volume adjustments'!N238</f>
        <v>141735.89806032833</v>
      </c>
      <c r="O56" s="124">
        <f>'Volume adjustments'!O238</f>
        <v>11299.239159364599</v>
      </c>
      <c r="P56" s="124">
        <f>'Volume adjustments'!P238</f>
        <v>74085.672420796604</v>
      </c>
      <c r="Q56" s="124">
        <f>'Volume adjustments'!Q238</f>
        <v>6024.6308921944819</v>
      </c>
      <c r="R56" s="124">
        <f>'Volume adjustments'!R238</f>
        <v>650.78467700282442</v>
      </c>
      <c r="S56" s="124">
        <f>'Volume adjustments'!S238</f>
        <v>0.19900000000000004</v>
      </c>
      <c r="T56" s="124">
        <f>'Volume adjustments'!T238</f>
        <v>37028.598245563808</v>
      </c>
      <c r="U56" s="124">
        <f>'Volume adjustments'!U238</f>
        <v>0</v>
      </c>
      <c r="V56" s="124">
        <f>'Volume adjustments'!V238</f>
        <v>324.10167419354838</v>
      </c>
      <c r="W56" s="124">
        <f>'Volume adjustments'!W238</f>
        <v>0</v>
      </c>
      <c r="X56" s="124">
        <f>'Volume adjustments'!X238</f>
        <v>166464.50181248464</v>
      </c>
      <c r="Y56" s="124">
        <f>'Volume adjustments'!Y238</f>
        <v>0</v>
      </c>
      <c r="AQ56" s="3"/>
    </row>
    <row r="57" spans="2:43" x14ac:dyDescent="0.35">
      <c r="E57" s="32"/>
      <c r="F57" t="s">
        <v>157</v>
      </c>
      <c r="G57" t="s">
        <v>207</v>
      </c>
      <c r="H57" s="89"/>
      <c r="I57" s="89"/>
      <c r="J57" s="120">
        <f>'Volume adjustments'!J249</f>
        <v>1243340.7641607483</v>
      </c>
      <c r="K57" s="120">
        <f>'Volume adjustments'!K249</f>
        <v>146290.47824065451</v>
      </c>
      <c r="L57" s="120">
        <f>'Volume adjustments'!L249</f>
        <v>541032.62300429156</v>
      </c>
      <c r="M57" s="120">
        <f>'Volume adjustments'!M249</f>
        <v>8911.3295663483332</v>
      </c>
      <c r="N57" s="120">
        <f>'Volume adjustments'!N249</f>
        <v>710097.98978704691</v>
      </c>
      <c r="O57" s="120">
        <f>'Volume adjustments'!O249</f>
        <v>53325.906839994132</v>
      </c>
      <c r="P57" s="120">
        <f>'Volume adjustments'!P249</f>
        <v>365809.35023276234</v>
      </c>
      <c r="Q57" s="120">
        <f>'Volume adjustments'!Q249</f>
        <v>29317.628247349428</v>
      </c>
      <c r="R57" s="120">
        <f>'Volume adjustments'!R249</f>
        <v>3502.3381089269142</v>
      </c>
      <c r="S57" s="120">
        <f>'Volume adjustments'!S249</f>
        <v>1.391</v>
      </c>
      <c r="T57" s="120">
        <f>'Volume adjustments'!T249</f>
        <v>177224.06606561315</v>
      </c>
      <c r="U57" s="120">
        <f>'Volume adjustments'!U249</f>
        <v>0</v>
      </c>
      <c r="V57" s="120">
        <f>'Volume adjustments'!V249</f>
        <v>1487.9755864997869</v>
      </c>
      <c r="W57" s="120">
        <f>'Volume adjustments'!W249</f>
        <v>0</v>
      </c>
      <c r="X57" s="120">
        <f>'Volume adjustments'!X249</f>
        <v>712457.12239743408</v>
      </c>
      <c r="Y57" s="120">
        <f>'Volume adjustments'!Y249</f>
        <v>0</v>
      </c>
      <c r="AQ57" s="3"/>
    </row>
    <row r="58" spans="2:43" x14ac:dyDescent="0.35">
      <c r="E58" s="32"/>
      <c r="F58" s="37" t="s">
        <v>158</v>
      </c>
      <c r="G58" s="37" t="s">
        <v>207</v>
      </c>
      <c r="H58" s="82"/>
      <c r="I58" s="82"/>
      <c r="J58" s="125">
        <f>'Volume adjustments'!J260</f>
        <v>1018610.3392766328</v>
      </c>
      <c r="K58" s="125">
        <f>'Volume adjustments'!K260</f>
        <v>211336.36964169086</v>
      </c>
      <c r="L58" s="125">
        <f>'Volume adjustments'!L260</f>
        <v>362610.31957838475</v>
      </c>
      <c r="M58" s="125">
        <f>'Volume adjustments'!M260</f>
        <v>14290.612390057293</v>
      </c>
      <c r="N58" s="125">
        <f>'Volume adjustments'!N260</f>
        <v>566954.89913548913</v>
      </c>
      <c r="O58" s="125">
        <f>'Volume adjustments'!O260</f>
        <v>52066.710837322069</v>
      </c>
      <c r="P58" s="125">
        <f>'Volume adjustments'!P260</f>
        <v>339465.81487819989</v>
      </c>
      <c r="Q58" s="125">
        <f>'Volume adjustments'!Q260</f>
        <v>60946.957515069895</v>
      </c>
      <c r="R58" s="125">
        <f>'Volume adjustments'!R260</f>
        <v>2112.3642325825435</v>
      </c>
      <c r="S58" s="125">
        <f>'Volume adjustments'!S260</f>
        <v>0.64400000000000013</v>
      </c>
      <c r="T58" s="125">
        <f>'Volume adjustments'!T260</f>
        <v>193113.18812858776</v>
      </c>
      <c r="U58" s="125">
        <f>'Volume adjustments'!U260</f>
        <v>0</v>
      </c>
      <c r="V58" s="125">
        <f>'Volume adjustments'!V260</f>
        <v>1570.8366193548386</v>
      </c>
      <c r="W58" s="125">
        <f>'Volume adjustments'!W260</f>
        <v>0</v>
      </c>
      <c r="X58" s="125">
        <f>'Volume adjustments'!X260</f>
        <v>746890.70756556396</v>
      </c>
      <c r="Y58" s="125">
        <f>'Volume adjustments'!Y260</f>
        <v>0</v>
      </c>
      <c r="AQ58" s="3"/>
    </row>
    <row r="59" spans="2:43" x14ac:dyDescent="0.35">
      <c r="E59" s="32"/>
      <c r="F59" s="108" t="s">
        <v>503</v>
      </c>
      <c r="G59" s="108" t="s">
        <v>207</v>
      </c>
      <c r="H59" s="167"/>
      <c r="I59" s="167"/>
      <c r="J59" s="167">
        <f t="shared" ref="J59:Y59" si="0">SUM(J56:J58)</f>
        <v>2586421.4866675828</v>
      </c>
      <c r="K59" s="167">
        <f t="shared" si="0"/>
        <v>367023.01289185032</v>
      </c>
      <c r="L59" s="167">
        <f t="shared" si="0"/>
        <v>1007581.0799788579</v>
      </c>
      <c r="M59" s="167">
        <f t="shared" si="0"/>
        <v>23656.846153411865</v>
      </c>
      <c r="N59" s="167">
        <f t="shared" si="0"/>
        <v>1418788.7869828644</v>
      </c>
      <c r="O59" s="167">
        <f t="shared" si="0"/>
        <v>116691.8568366808</v>
      </c>
      <c r="P59" s="167">
        <f t="shared" si="0"/>
        <v>779360.83753175882</v>
      </c>
      <c r="Q59" s="167">
        <f t="shared" si="0"/>
        <v>96289.216654613803</v>
      </c>
      <c r="R59" s="167">
        <f t="shared" si="0"/>
        <v>6265.4870185122818</v>
      </c>
      <c r="S59" s="167">
        <f t="shared" si="0"/>
        <v>2.234</v>
      </c>
      <c r="T59" s="167">
        <f t="shared" si="0"/>
        <v>407365.85243976471</v>
      </c>
      <c r="U59" s="167">
        <f t="shared" si="0"/>
        <v>0</v>
      </c>
      <c r="V59" s="167">
        <f t="shared" si="0"/>
        <v>3382.9138800481742</v>
      </c>
      <c r="W59" s="167">
        <f t="shared" si="0"/>
        <v>0</v>
      </c>
      <c r="X59" s="167">
        <f t="shared" si="0"/>
        <v>1625812.3317754827</v>
      </c>
      <c r="Y59" s="167">
        <f t="shared" si="0"/>
        <v>0</v>
      </c>
      <c r="AQ59" s="3"/>
    </row>
    <row r="60" spans="2:43" x14ac:dyDescent="0.35">
      <c r="D60" s="32"/>
      <c r="J60" s="63"/>
      <c r="L60" s="63"/>
      <c r="AQ60" s="3"/>
    </row>
    <row r="61" spans="2:43" x14ac:dyDescent="0.35">
      <c r="C61" s="32"/>
      <c r="E61" s="28" t="s">
        <v>241</v>
      </c>
      <c r="F61" s="28"/>
      <c r="G61" s="28" t="s">
        <v>167</v>
      </c>
      <c r="I61" t="s">
        <v>154</v>
      </c>
      <c r="J61" s="25">
        <f>'Inputs by customer type'!J15</f>
        <v>0.4335299284783149</v>
      </c>
      <c r="K61" s="25">
        <f>'Inputs by customer type'!K15</f>
        <v>0.16557931417887523</v>
      </c>
      <c r="L61" s="25">
        <f>'Inputs by customer type'!L15</f>
        <v>0.42228952312043272</v>
      </c>
      <c r="M61" s="25">
        <f>'Inputs by customer type'!M15</f>
        <v>0.21891578806652609</v>
      </c>
      <c r="N61" s="25">
        <f>'Inputs by customer type'!N15</f>
        <v>0.57745727286460158</v>
      </c>
      <c r="O61" s="25">
        <f>'Inputs by customer type'!O15</f>
        <v>0.71672866755943188</v>
      </c>
      <c r="P61" s="25">
        <f>'Inputs by customer type'!P15</f>
        <v>0.68760551445352636</v>
      </c>
      <c r="Q61" s="25">
        <f>'Inputs by customer type'!Q15</f>
        <v>0.48053399908135042</v>
      </c>
      <c r="R61" s="70"/>
      <c r="S61" s="70"/>
      <c r="T61" s="70"/>
      <c r="U61" s="70"/>
      <c r="V61" s="70"/>
      <c r="W61" s="70"/>
      <c r="X61" s="70"/>
      <c r="Y61" s="70"/>
      <c r="AA61" t="s">
        <v>504</v>
      </c>
      <c r="AQ61" s="3"/>
    </row>
    <row r="63" spans="2:43" x14ac:dyDescent="0.35">
      <c r="B63" s="30" t="s">
        <v>505</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35">
      <c r="C64" s="32"/>
      <c r="J64" s="63"/>
      <c r="L64" s="63"/>
      <c r="AQ64" s="3"/>
    </row>
    <row r="65" spans="3:43" x14ac:dyDescent="0.35">
      <c r="C65" s="29" t="s">
        <v>506</v>
      </c>
      <c r="J65" s="63"/>
      <c r="L65" s="63"/>
      <c r="AQ65" s="3"/>
    </row>
    <row r="66" spans="3:43" x14ac:dyDescent="0.35">
      <c r="C66" s="32"/>
      <c r="J66" s="63"/>
      <c r="L66" s="63"/>
      <c r="AQ66" s="3"/>
    </row>
    <row r="67" spans="3:43" x14ac:dyDescent="0.3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35">
      <c r="H68" s="63"/>
      <c r="J68" s="63"/>
      <c r="K68" s="63"/>
      <c r="L68" s="63"/>
      <c r="M68" s="63"/>
      <c r="N68" s="63"/>
      <c r="O68" s="63"/>
      <c r="P68" s="63"/>
      <c r="Q68" s="63"/>
      <c r="R68" s="63"/>
      <c r="S68" s="63"/>
      <c r="T68" s="63"/>
      <c r="U68" s="63"/>
      <c r="V68" s="63"/>
      <c r="W68" s="63"/>
      <c r="X68" s="63"/>
      <c r="Y68" s="63"/>
    </row>
    <row r="69" spans="3:43" x14ac:dyDescent="0.35">
      <c r="E69" s="32" t="s">
        <v>507</v>
      </c>
      <c r="J69" s="63"/>
      <c r="L69" s="63"/>
      <c r="AQ69" s="3"/>
    </row>
    <row r="70" spans="3:43" x14ac:dyDescent="0.35">
      <c r="E70" s="32"/>
      <c r="F70" s="23" t="s">
        <v>191</v>
      </c>
      <c r="G70" s="23" t="s">
        <v>283</v>
      </c>
      <c r="H70" s="23"/>
      <c r="I70" s="23"/>
      <c r="J70" s="124">
        <f>'Pseudo-load coefficients'!J272</f>
        <v>6.7482889618723787</v>
      </c>
      <c r="K70" s="124">
        <f>'Pseudo-load coefficients'!K272</f>
        <v>6.7482889618723787</v>
      </c>
      <c r="L70" s="124">
        <f>'Pseudo-load coefficients'!L272</f>
        <v>7.7438972128952743</v>
      </c>
      <c r="M70" s="124">
        <f>'Pseudo-load coefficients'!M272</f>
        <v>7.7438972128952743</v>
      </c>
      <c r="N70" s="124">
        <f>'Pseudo-load coefficients'!N272</f>
        <v>6.5770345051126187</v>
      </c>
      <c r="O70" s="124">
        <f>'Pseudo-load coefficients'!O272</f>
        <v>5.6110797588219876</v>
      </c>
      <c r="P70" s="124">
        <f>'Pseudo-load coefficients'!P272</f>
        <v>5.8944473174197078</v>
      </c>
      <c r="Q70" s="124">
        <f>'Pseudo-load coefficients'!Q272</f>
        <v>9.8171958139514377</v>
      </c>
      <c r="R70" s="124">
        <f>'Pseudo-load coefficients'!R272</f>
        <v>5.2168429118773947</v>
      </c>
      <c r="S70" s="124">
        <f>'Pseudo-load coefficients'!S272</f>
        <v>5.2168429118773947</v>
      </c>
      <c r="T70" s="124">
        <f>'Pseudo-load coefficients'!T272</f>
        <v>5.2168429118773947</v>
      </c>
      <c r="U70" s="124">
        <f>'Pseudo-load coefficients'!U272</f>
        <v>5.2168429118773947</v>
      </c>
      <c r="V70" s="124">
        <f>'Pseudo-load coefficients'!V272</f>
        <v>5.2168429118773947</v>
      </c>
      <c r="W70" s="124">
        <f>'Pseudo-load coefficients'!W272</f>
        <v>5.2168429118773947</v>
      </c>
      <c r="X70" s="124">
        <f>'Pseudo-load coefficients'!X272</f>
        <v>5.2168429118773947</v>
      </c>
      <c r="Y70" s="124">
        <f>'Pseudo-load coefficients'!Y272</f>
        <v>5.2168429118773947</v>
      </c>
      <c r="AQ70" s="3"/>
    </row>
    <row r="71" spans="3:43" x14ac:dyDescent="0.35">
      <c r="E71" s="32"/>
      <c r="F71" t="s">
        <v>192</v>
      </c>
      <c r="G71" t="s">
        <v>283</v>
      </c>
      <c r="J71" s="120">
        <f>'Pseudo-load coefficients'!J273</f>
        <v>0</v>
      </c>
      <c r="K71" s="120">
        <f>'Pseudo-load coefficients'!K273</f>
        <v>0</v>
      </c>
      <c r="L71" s="120">
        <f>'Pseudo-load coefficients'!L273</f>
        <v>0</v>
      </c>
      <c r="M71" s="120">
        <f>'Pseudo-load coefficients'!M273</f>
        <v>0</v>
      </c>
      <c r="N71" s="120">
        <f>'Pseudo-load coefficients'!N273</f>
        <v>0</v>
      </c>
      <c r="O71" s="120">
        <f>'Pseudo-load coefficients'!O273</f>
        <v>0</v>
      </c>
      <c r="P71" s="120">
        <f>'Pseudo-load coefficients'!P273</f>
        <v>0</v>
      </c>
      <c r="Q71" s="120">
        <f>'Pseudo-load coefficients'!Q273</f>
        <v>0</v>
      </c>
      <c r="R71" s="120">
        <f>'Pseudo-load coefficients'!R273</f>
        <v>0</v>
      </c>
      <c r="S71" s="120">
        <f>'Pseudo-load coefficients'!S273</f>
        <v>0</v>
      </c>
      <c r="T71" s="120">
        <f>'Pseudo-load coefficients'!T273</f>
        <v>0</v>
      </c>
      <c r="U71" s="120">
        <f>'Pseudo-load coefficients'!U273</f>
        <v>0</v>
      </c>
      <c r="V71" s="120">
        <f>'Pseudo-load coefficients'!V273</f>
        <v>0</v>
      </c>
      <c r="W71" s="120">
        <f>'Pseudo-load coefficients'!W273</f>
        <v>0</v>
      </c>
      <c r="X71" s="120">
        <f>'Pseudo-load coefficients'!X273</f>
        <v>0</v>
      </c>
      <c r="Y71" s="120">
        <f>'Pseudo-load coefficients'!Y273</f>
        <v>0</v>
      </c>
      <c r="AQ71" s="3"/>
    </row>
    <row r="72" spans="3:43" x14ac:dyDescent="0.35">
      <c r="E72" s="32"/>
      <c r="F72" t="s">
        <v>193</v>
      </c>
      <c r="G72" t="s">
        <v>283</v>
      </c>
      <c r="J72" s="120">
        <f>'Pseudo-load coefficients'!J274</f>
        <v>0</v>
      </c>
      <c r="K72" s="120">
        <f>'Pseudo-load coefficients'!K274</f>
        <v>0</v>
      </c>
      <c r="L72" s="120">
        <f>'Pseudo-load coefficients'!L274</f>
        <v>0</v>
      </c>
      <c r="M72" s="120">
        <f>'Pseudo-load coefficients'!M274</f>
        <v>0</v>
      </c>
      <c r="N72" s="120">
        <f>'Pseudo-load coefficients'!N274</f>
        <v>0</v>
      </c>
      <c r="O72" s="120">
        <f>'Pseudo-load coefficients'!O274</f>
        <v>0</v>
      </c>
      <c r="P72" s="120">
        <f>'Pseudo-load coefficients'!P274</f>
        <v>0</v>
      </c>
      <c r="Q72" s="120">
        <f>'Pseudo-load coefficients'!Q274</f>
        <v>0</v>
      </c>
      <c r="R72" s="120">
        <f>'Pseudo-load coefficients'!R274</f>
        <v>0</v>
      </c>
      <c r="S72" s="120">
        <f>'Pseudo-load coefficients'!S274</f>
        <v>0</v>
      </c>
      <c r="T72" s="120">
        <f>'Pseudo-load coefficients'!T274</f>
        <v>0</v>
      </c>
      <c r="U72" s="120">
        <f>'Pseudo-load coefficients'!U274</f>
        <v>0</v>
      </c>
      <c r="V72" s="120">
        <f>'Pseudo-load coefficients'!V274</f>
        <v>0</v>
      </c>
      <c r="W72" s="120">
        <f>'Pseudo-load coefficients'!W274</f>
        <v>0</v>
      </c>
      <c r="X72" s="120">
        <f>'Pseudo-load coefficients'!X274</f>
        <v>0</v>
      </c>
      <c r="Y72" s="120">
        <f>'Pseudo-load coefficients'!Y274</f>
        <v>0</v>
      </c>
      <c r="AQ72" s="3"/>
    </row>
    <row r="73" spans="3:43" x14ac:dyDescent="0.35">
      <c r="E73" s="32"/>
      <c r="F73" t="s">
        <v>194</v>
      </c>
      <c r="G73" t="s">
        <v>283</v>
      </c>
      <c r="J73" s="120">
        <f>'Pseudo-load coefficients'!J275</f>
        <v>6.3676756234695411</v>
      </c>
      <c r="K73" s="120">
        <f>'Pseudo-load coefficients'!K275</f>
        <v>6.3676756234695411</v>
      </c>
      <c r="L73" s="120">
        <f>'Pseudo-load coefficients'!L275</f>
        <v>7.3071301172505283</v>
      </c>
      <c r="M73" s="120">
        <f>'Pseudo-load coefficients'!M275</f>
        <v>7.3071301172505283</v>
      </c>
      <c r="N73" s="120">
        <f>'Pseudo-load coefficients'!N275</f>
        <v>6.2060801678094633</v>
      </c>
      <c r="O73" s="120">
        <f>'Pseudo-load coefficients'!O275</f>
        <v>5.2946066778504717</v>
      </c>
      <c r="P73" s="120">
        <f>'Pseudo-load coefficients'!P275</f>
        <v>5.5619918929115846</v>
      </c>
      <c r="Q73" s="120">
        <f>'Pseudo-load coefficients'!Q275</f>
        <v>8.8445943710831827</v>
      </c>
      <c r="R73" s="120">
        <f>'Pseudo-load coefficients'!R275</f>
        <v>4.9226053639846752</v>
      </c>
      <c r="S73" s="120">
        <f>'Pseudo-load coefficients'!S275</f>
        <v>4.9226053639846752</v>
      </c>
      <c r="T73" s="120">
        <f>'Pseudo-load coefficients'!T275</f>
        <v>4.9226053639846752</v>
      </c>
      <c r="U73" s="120">
        <f>'Pseudo-load coefficients'!U275</f>
        <v>4.9226053639846752</v>
      </c>
      <c r="V73" s="120">
        <f>'Pseudo-load coefficients'!V275</f>
        <v>4.9226053639846752</v>
      </c>
      <c r="W73" s="120">
        <f>'Pseudo-load coefficients'!W275</f>
        <v>4.9226053639846752</v>
      </c>
      <c r="X73" s="120">
        <f>'Pseudo-load coefficients'!X275</f>
        <v>4.9226053639846752</v>
      </c>
      <c r="Y73" s="120">
        <f>'Pseudo-load coefficients'!Y275</f>
        <v>4.9226053639846752</v>
      </c>
      <c r="AQ73" s="3"/>
    </row>
    <row r="74" spans="3:43" x14ac:dyDescent="0.35">
      <c r="E74" s="32"/>
      <c r="F74" t="s">
        <v>195</v>
      </c>
      <c r="G74" t="s">
        <v>283</v>
      </c>
      <c r="J74" s="120">
        <f>'Pseudo-load coefficients'!J276</f>
        <v>6.3676756234695411</v>
      </c>
      <c r="K74" s="120">
        <f>'Pseudo-load coefficients'!K276</f>
        <v>6.3676756234695411</v>
      </c>
      <c r="L74" s="120">
        <f>'Pseudo-load coefficients'!L276</f>
        <v>7.3071301172505283</v>
      </c>
      <c r="M74" s="120">
        <f>'Pseudo-load coefficients'!M276</f>
        <v>7.3071301172505283</v>
      </c>
      <c r="N74" s="120">
        <f>'Pseudo-load coefficients'!N276</f>
        <v>6.2060801678094633</v>
      </c>
      <c r="O74" s="120">
        <f>'Pseudo-load coefficients'!O276</f>
        <v>5.2946066778504717</v>
      </c>
      <c r="P74" s="120">
        <f>'Pseudo-load coefficients'!P276</f>
        <v>5.5619918929115846</v>
      </c>
      <c r="Q74" s="120">
        <f>'Pseudo-load coefficients'!Q276</f>
        <v>8.8445943710831827</v>
      </c>
      <c r="R74" s="120">
        <f>'Pseudo-load coefficients'!R276</f>
        <v>4.9226053639846752</v>
      </c>
      <c r="S74" s="120">
        <f>'Pseudo-load coefficients'!S276</f>
        <v>4.9226053639846752</v>
      </c>
      <c r="T74" s="120">
        <f>'Pseudo-load coefficients'!T276</f>
        <v>4.9226053639846752</v>
      </c>
      <c r="U74" s="120">
        <f>'Pseudo-load coefficients'!U276</f>
        <v>4.9226053639846752</v>
      </c>
      <c r="V74" s="120">
        <f>'Pseudo-load coefficients'!V276</f>
        <v>4.9226053639846752</v>
      </c>
      <c r="W74" s="120">
        <f>'Pseudo-load coefficients'!W276</f>
        <v>4.9226053639846752</v>
      </c>
      <c r="X74" s="120">
        <f>'Pseudo-load coefficients'!X276</f>
        <v>4.9226053639846752</v>
      </c>
      <c r="Y74" s="120">
        <f>'Pseudo-load coefficients'!Y276</f>
        <v>4.9226053639846752</v>
      </c>
      <c r="AQ74" s="3"/>
    </row>
    <row r="75" spans="3:43" x14ac:dyDescent="0.35">
      <c r="E75" s="32"/>
      <c r="F75" t="s">
        <v>196</v>
      </c>
      <c r="G75" t="s">
        <v>283</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35">
      <c r="E76" s="32"/>
      <c r="F76" t="s">
        <v>197</v>
      </c>
      <c r="G76" t="s">
        <v>283</v>
      </c>
      <c r="J76" s="120">
        <f>'Pseudo-load coefficients'!J278</f>
        <v>5.6440761208025476</v>
      </c>
      <c r="K76" s="120">
        <f>'Pseudo-load coefficients'!K278</f>
        <v>5.6440761208025476</v>
      </c>
      <c r="L76" s="120">
        <f>'Pseudo-load coefficients'!L278</f>
        <v>6.4767744221084227</v>
      </c>
      <c r="M76" s="120">
        <f>'Pseudo-load coefficients'!M278</f>
        <v>6.4767744221084227</v>
      </c>
      <c r="N76" s="120">
        <f>'Pseudo-load coefficients'!N278</f>
        <v>5.5008437851038421</v>
      </c>
      <c r="O76" s="120">
        <f>'Pseudo-load coefficients'!O278</f>
        <v>4.692946828094736</v>
      </c>
      <c r="P76" s="120">
        <f>'Pseudo-load coefficients'!P278</f>
        <v>4.9299473596261771</v>
      </c>
      <c r="Q76" s="120">
        <f>'Pseudo-load coefficients'!Q278</f>
        <v>7.7271754339643248</v>
      </c>
      <c r="R76" s="120">
        <f>'Pseudo-load coefficients'!R278</f>
        <v>4.3632183908045983</v>
      </c>
      <c r="S76" s="120">
        <f>'Pseudo-load coefficients'!S278</f>
        <v>4.3632183908045983</v>
      </c>
      <c r="T76" s="120">
        <f>'Pseudo-load coefficients'!T278</f>
        <v>4.3632183908045983</v>
      </c>
      <c r="U76" s="120">
        <f>'Pseudo-load coefficients'!U278</f>
        <v>4.3632183908045983</v>
      </c>
      <c r="V76" s="120">
        <f>'Pseudo-load coefficients'!V278</f>
        <v>4.3632183908045983</v>
      </c>
      <c r="W76" s="120">
        <f>'Pseudo-load coefficients'!W278</f>
        <v>4.3632183908045983</v>
      </c>
      <c r="X76" s="120">
        <f>'Pseudo-load coefficients'!X278</f>
        <v>4.3632183908045983</v>
      </c>
      <c r="Y76" s="120">
        <f>'Pseudo-load coefficients'!Y278</f>
        <v>4.3632183908045983</v>
      </c>
      <c r="AQ76" s="3"/>
    </row>
    <row r="77" spans="3:43" x14ac:dyDescent="0.35">
      <c r="E77" s="32"/>
      <c r="F77" t="s">
        <v>198</v>
      </c>
      <c r="G77" t="s">
        <v>283</v>
      </c>
      <c r="J77" s="120">
        <f>'Pseudo-load coefficients'!J279</f>
        <v>5.6440761208025476</v>
      </c>
      <c r="K77" s="120">
        <f>'Pseudo-load coefficients'!K279</f>
        <v>5.6440761208025476</v>
      </c>
      <c r="L77" s="120">
        <f>'Pseudo-load coefficients'!L279</f>
        <v>6.4767744221084227</v>
      </c>
      <c r="M77" s="120">
        <f>'Pseudo-load coefficients'!M279</f>
        <v>6.4767744221084227</v>
      </c>
      <c r="N77" s="120">
        <f>'Pseudo-load coefficients'!N279</f>
        <v>5.5008437851038421</v>
      </c>
      <c r="O77" s="120">
        <f>'Pseudo-load coefficients'!O279</f>
        <v>4.692946828094736</v>
      </c>
      <c r="P77" s="120">
        <f>'Pseudo-load coefficients'!P279</f>
        <v>4.9299473596261771</v>
      </c>
      <c r="Q77" s="120">
        <f>'Pseudo-load coefficients'!Q279</f>
        <v>7.7271754339643248</v>
      </c>
      <c r="R77" s="120">
        <f>'Pseudo-load coefficients'!R279</f>
        <v>4.3632183908045983</v>
      </c>
      <c r="S77" s="120">
        <f>'Pseudo-load coefficients'!S279</f>
        <v>4.3632183908045983</v>
      </c>
      <c r="T77" s="120">
        <f>'Pseudo-load coefficients'!T279</f>
        <v>4.3632183908045983</v>
      </c>
      <c r="U77" s="120">
        <f>'Pseudo-load coefficients'!U279</f>
        <v>4.3632183908045983</v>
      </c>
      <c r="V77" s="120">
        <f>'Pseudo-load coefficients'!V279</f>
        <v>4.3632183908045983</v>
      </c>
      <c r="W77" s="120">
        <f>'Pseudo-load coefficients'!W279</f>
        <v>4.3632183908045983</v>
      </c>
      <c r="X77" s="120">
        <f>'Pseudo-load coefficients'!X279</f>
        <v>4.3632183908045983</v>
      </c>
      <c r="Y77" s="120">
        <f>'Pseudo-load coefficients'!Y279</f>
        <v>4.3632183908045983</v>
      </c>
      <c r="AQ77" s="3"/>
    </row>
    <row r="78" spans="3:43" x14ac:dyDescent="0.35">
      <c r="E78" s="32"/>
      <c r="F78" s="37" t="s">
        <v>199</v>
      </c>
      <c r="G78" s="37" t="s">
        <v>283</v>
      </c>
      <c r="H78" s="37"/>
      <c r="I78" s="37"/>
      <c r="J78" s="125">
        <f>'Pseudo-load coefficients'!J280</f>
        <v>5.6440761208025476</v>
      </c>
      <c r="K78" s="125">
        <f>'Pseudo-load coefficients'!K280</f>
        <v>5.6440761208025476</v>
      </c>
      <c r="L78" s="125">
        <f>'Pseudo-load coefficients'!L280</f>
        <v>6.4767744221084227</v>
      </c>
      <c r="M78" s="125">
        <f>'Pseudo-load coefficients'!M280</f>
        <v>6.4767744221084227</v>
      </c>
      <c r="N78" s="125">
        <f>'Pseudo-load coefficients'!N280</f>
        <v>5.5008437851038421</v>
      </c>
      <c r="O78" s="125">
        <f>'Pseudo-load coefficients'!O280</f>
        <v>4.692946828094736</v>
      </c>
      <c r="P78" s="125">
        <f>'Pseudo-load coefficients'!P280</f>
        <v>4.9299473596261771</v>
      </c>
      <c r="Q78" s="125">
        <f>'Pseudo-load coefficients'!Q280</f>
        <v>7.7271754339643248</v>
      </c>
      <c r="R78" s="125">
        <f>'Pseudo-load coefficients'!R280</f>
        <v>4.3632183908045983</v>
      </c>
      <c r="S78" s="125">
        <f>'Pseudo-load coefficients'!S280</f>
        <v>4.3632183908045983</v>
      </c>
      <c r="T78" s="125">
        <f>'Pseudo-load coefficients'!T280</f>
        <v>4.3632183908045983</v>
      </c>
      <c r="U78" s="125">
        <f>'Pseudo-load coefficients'!U280</f>
        <v>4.3632183908045983</v>
      </c>
      <c r="V78" s="125">
        <f>'Pseudo-load coefficients'!V280</f>
        <v>4.3632183908045983</v>
      </c>
      <c r="W78" s="125">
        <f>'Pseudo-load coefficients'!W280</f>
        <v>4.3632183908045983</v>
      </c>
      <c r="X78" s="125">
        <f>'Pseudo-load coefficients'!X280</f>
        <v>4.3632183908045983</v>
      </c>
      <c r="Y78" s="125">
        <f>'Pseudo-load coefficients'!Y280</f>
        <v>4.3632183908045983</v>
      </c>
      <c r="AQ78" s="3"/>
    </row>
    <row r="79" spans="3:43" x14ac:dyDescent="0.35">
      <c r="E79" s="32"/>
      <c r="J79" s="89"/>
      <c r="K79" s="89"/>
      <c r="L79" s="89"/>
      <c r="M79" s="89"/>
      <c r="N79" s="89"/>
      <c r="O79" s="89"/>
      <c r="P79" s="89"/>
      <c r="Q79" s="89"/>
      <c r="R79" s="89"/>
      <c r="S79" s="89"/>
      <c r="T79" s="89"/>
      <c r="U79" s="89"/>
      <c r="V79" s="89"/>
      <c r="W79" s="89"/>
      <c r="X79" s="89"/>
      <c r="Y79" s="89"/>
      <c r="AQ79" s="3"/>
    </row>
    <row r="80" spans="3:43" x14ac:dyDescent="0.35">
      <c r="E80" s="32" t="s">
        <v>508</v>
      </c>
      <c r="J80" s="89"/>
      <c r="K80" s="89"/>
      <c r="L80" s="89"/>
      <c r="M80" s="89"/>
      <c r="N80" s="89"/>
      <c r="O80" s="89"/>
      <c r="P80" s="89"/>
      <c r="Q80" s="89"/>
      <c r="R80" s="89"/>
      <c r="S80" s="89"/>
      <c r="T80" s="89"/>
      <c r="U80" s="89"/>
      <c r="V80" s="89"/>
      <c r="W80" s="89"/>
      <c r="X80" s="89"/>
      <c r="Y80" s="89"/>
      <c r="AQ80" s="3"/>
    </row>
    <row r="81" spans="5:43" x14ac:dyDescent="0.35">
      <c r="E81" s="29" t="s">
        <v>509</v>
      </c>
      <c r="J81" s="89"/>
      <c r="K81" s="89"/>
      <c r="L81" s="89"/>
      <c r="M81" s="89"/>
      <c r="N81" s="89"/>
      <c r="O81" s="89"/>
      <c r="P81" s="89"/>
      <c r="Q81" s="89"/>
      <c r="R81" s="89"/>
      <c r="S81" s="89"/>
      <c r="T81" s="89"/>
      <c r="U81" s="89"/>
      <c r="V81" s="89"/>
      <c r="W81" s="89"/>
      <c r="X81" s="89"/>
      <c r="Y81" s="89"/>
      <c r="AQ81" s="3"/>
    </row>
    <row r="82" spans="5:43" x14ac:dyDescent="0.35">
      <c r="E82" s="32"/>
      <c r="F82" s="23" t="s">
        <v>191</v>
      </c>
      <c r="G82" s="23" t="s">
        <v>172</v>
      </c>
      <c r="H82" s="23"/>
      <c r="I82" s="23"/>
      <c r="J82" s="158">
        <f t="shared" ref="J82:Y82" si="1">J$56 * J34 * J70 / hours_in_year / $H45</f>
        <v>274.70231464177522</v>
      </c>
      <c r="K82" s="158">
        <f t="shared" si="1"/>
        <v>7.9549580185745725</v>
      </c>
      <c r="L82" s="158">
        <f t="shared" si="1"/>
        <v>100.97830953115322</v>
      </c>
      <c r="M82" s="158">
        <f t="shared" si="1"/>
        <v>0.44194997104118011</v>
      </c>
      <c r="N82" s="158">
        <f t="shared" si="1"/>
        <v>116.95089948394275</v>
      </c>
      <c r="O82" s="158">
        <f t="shared" si="1"/>
        <v>7.6790398399050952</v>
      </c>
      <c r="P82" s="158">
        <f t="shared" si="1"/>
        <v>51.695408048312757</v>
      </c>
      <c r="Q82" s="158">
        <f t="shared" si="1"/>
        <v>7.4201294876511588</v>
      </c>
      <c r="R82" s="158">
        <f t="shared" si="1"/>
        <v>-0.4259304259006032</v>
      </c>
      <c r="S82" s="158">
        <f t="shared" si="1"/>
        <v>-1.2573961136653895E-4</v>
      </c>
      <c r="T82" s="158">
        <f t="shared" si="1"/>
        <v>-24.23475410311001</v>
      </c>
      <c r="U82" s="158">
        <f t="shared" si="1"/>
        <v>0</v>
      </c>
      <c r="V82" s="158">
        <f t="shared" si="1"/>
        <v>-0.20478602289618791</v>
      </c>
      <c r="W82" s="158">
        <f t="shared" si="1"/>
        <v>0</v>
      </c>
      <c r="X82" s="158">
        <f t="shared" si="1"/>
        <v>-102.80258734531618</v>
      </c>
      <c r="Y82" s="158">
        <f t="shared" si="1"/>
        <v>0</v>
      </c>
      <c r="AQ82" s="3"/>
    </row>
    <row r="83" spans="5:43" x14ac:dyDescent="0.35">
      <c r="E83" s="32"/>
      <c r="F83" t="s">
        <v>192</v>
      </c>
      <c r="G83" t="s">
        <v>172</v>
      </c>
      <c r="J83" s="89">
        <f t="shared" ref="J83:Y83" si="2">J$56 * J35 * J71 / hours_in_year / $H46</f>
        <v>0</v>
      </c>
      <c r="K83" s="89">
        <f t="shared" si="2"/>
        <v>0</v>
      </c>
      <c r="L83" s="89">
        <f t="shared" si="2"/>
        <v>0</v>
      </c>
      <c r="M83" s="89">
        <f t="shared" si="2"/>
        <v>0</v>
      </c>
      <c r="N83" s="89">
        <f t="shared" si="2"/>
        <v>0</v>
      </c>
      <c r="O83" s="89">
        <f t="shared" si="2"/>
        <v>0</v>
      </c>
      <c r="P83" s="89">
        <f t="shared" si="2"/>
        <v>0</v>
      </c>
      <c r="Q83" s="89">
        <f t="shared" si="2"/>
        <v>0</v>
      </c>
      <c r="R83" s="89">
        <f t="shared" si="2"/>
        <v>0</v>
      </c>
      <c r="S83" s="89">
        <f t="shared" si="2"/>
        <v>0</v>
      </c>
      <c r="T83" s="89">
        <f t="shared" si="2"/>
        <v>0</v>
      </c>
      <c r="U83" s="89">
        <f t="shared" si="2"/>
        <v>0</v>
      </c>
      <c r="V83" s="89">
        <f t="shared" si="2"/>
        <v>0</v>
      </c>
      <c r="W83" s="89">
        <f t="shared" si="2"/>
        <v>0</v>
      </c>
      <c r="X83" s="89">
        <f t="shared" si="2"/>
        <v>0</v>
      </c>
      <c r="Y83" s="89">
        <f t="shared" si="2"/>
        <v>0</v>
      </c>
      <c r="AQ83" s="3"/>
    </row>
    <row r="84" spans="5:43" x14ac:dyDescent="0.35">
      <c r="E84" s="32"/>
      <c r="F84" t="s">
        <v>193</v>
      </c>
      <c r="G84" t="s">
        <v>172</v>
      </c>
      <c r="J84" s="89">
        <f t="shared" ref="J84:Y84" si="3">J$56 * J36 * J72 / hours_in_year / $H47</f>
        <v>0</v>
      </c>
      <c r="K84" s="89">
        <f t="shared" si="3"/>
        <v>0</v>
      </c>
      <c r="L84" s="89">
        <f t="shared" si="3"/>
        <v>0</v>
      </c>
      <c r="M84" s="89">
        <f t="shared" si="3"/>
        <v>0</v>
      </c>
      <c r="N84" s="89">
        <f t="shared" si="3"/>
        <v>0</v>
      </c>
      <c r="O84" s="89">
        <f t="shared" si="3"/>
        <v>0</v>
      </c>
      <c r="P84" s="89">
        <f t="shared" si="3"/>
        <v>0</v>
      </c>
      <c r="Q84" s="89">
        <f t="shared" si="3"/>
        <v>0</v>
      </c>
      <c r="R84" s="89">
        <f t="shared" si="3"/>
        <v>0</v>
      </c>
      <c r="S84" s="89">
        <f t="shared" si="3"/>
        <v>0</v>
      </c>
      <c r="T84" s="89">
        <f t="shared" si="3"/>
        <v>0</v>
      </c>
      <c r="U84" s="89">
        <f t="shared" si="3"/>
        <v>0</v>
      </c>
      <c r="V84" s="89">
        <f t="shared" si="3"/>
        <v>0</v>
      </c>
      <c r="W84" s="89">
        <f t="shared" si="3"/>
        <v>0</v>
      </c>
      <c r="X84" s="89">
        <f t="shared" si="3"/>
        <v>0</v>
      </c>
      <c r="Y84" s="89">
        <f t="shared" si="3"/>
        <v>0</v>
      </c>
      <c r="AQ84" s="3"/>
    </row>
    <row r="85" spans="5:43" x14ac:dyDescent="0.35">
      <c r="E85" s="32"/>
      <c r="F85" t="s">
        <v>194</v>
      </c>
      <c r="G85" t="s">
        <v>172</v>
      </c>
      <c r="J85" s="89">
        <f t="shared" ref="J85:Y85" si="4">J$56 * J37 * J73 / hours_in_year / $H48</f>
        <v>255.37803300562575</v>
      </c>
      <c r="K85" s="89">
        <f t="shared" si="4"/>
        <v>7.3953564391152078</v>
      </c>
      <c r="L85" s="89">
        <f t="shared" si="4"/>
        <v>93.874862677904403</v>
      </c>
      <c r="M85" s="89">
        <f t="shared" si="4"/>
        <v>0.41086044156042234</v>
      </c>
      <c r="N85" s="89">
        <f t="shared" si="4"/>
        <v>108.72384059593935</v>
      </c>
      <c r="O85" s="89">
        <f t="shared" si="4"/>
        <v>7.1388480735741551</v>
      </c>
      <c r="P85" s="89">
        <f t="shared" si="4"/>
        <v>48.058829209419542</v>
      </c>
      <c r="Q85" s="89">
        <f t="shared" si="4"/>
        <v>6.5862150739114131</v>
      </c>
      <c r="R85" s="89">
        <f t="shared" si="4"/>
        <v>-0.39596781157665151</v>
      </c>
      <c r="S85" s="89">
        <f t="shared" si="4"/>
        <v>-1.1689429942937677E-4</v>
      </c>
      <c r="T85" s="89">
        <f t="shared" si="4"/>
        <v>-22.529929685150378</v>
      </c>
      <c r="U85" s="89">
        <f t="shared" si="4"/>
        <v>0</v>
      </c>
      <c r="V85" s="89">
        <f t="shared" si="4"/>
        <v>-0.1903800911997133</v>
      </c>
      <c r="W85" s="89">
        <f t="shared" si="4"/>
        <v>0</v>
      </c>
      <c r="X85" s="89">
        <f t="shared" si="4"/>
        <v>-95.570809362752229</v>
      </c>
      <c r="Y85" s="89">
        <f t="shared" si="4"/>
        <v>0</v>
      </c>
      <c r="AQ85" s="3"/>
    </row>
    <row r="86" spans="5:43" x14ac:dyDescent="0.35">
      <c r="E86" s="32"/>
      <c r="F86" t="s">
        <v>195</v>
      </c>
      <c r="G86" t="s">
        <v>172</v>
      </c>
      <c r="J86" s="89">
        <f t="shared" ref="J86:Y86" si="5">J$56 * J38 * J74 / hours_in_year / $H49</f>
        <v>252.14854426139115</v>
      </c>
      <c r="K86" s="89">
        <f t="shared" si="5"/>
        <v>7.3018353946516878</v>
      </c>
      <c r="L86" s="89">
        <f t="shared" si="5"/>
        <v>92.687729200460069</v>
      </c>
      <c r="M86" s="89">
        <f t="shared" si="5"/>
        <v>0.40566473558738192</v>
      </c>
      <c r="N86" s="89">
        <f t="shared" si="5"/>
        <v>107.34892821486228</v>
      </c>
      <c r="O86" s="89">
        <f t="shared" si="5"/>
        <v>7.0485708119433523</v>
      </c>
      <c r="P86" s="89">
        <f t="shared" si="5"/>
        <v>47.451081369222599</v>
      </c>
      <c r="Q86" s="89">
        <f t="shared" si="5"/>
        <v>6.5029263618872406</v>
      </c>
      <c r="R86" s="89">
        <f t="shared" si="5"/>
        <v>-0.39096043652753038</v>
      </c>
      <c r="S86" s="89">
        <f t="shared" si="5"/>
        <v>-1.1541606412530876E-4</v>
      </c>
      <c r="T86" s="89">
        <f t="shared" si="5"/>
        <v>-22.245018122984078</v>
      </c>
      <c r="U86" s="89">
        <f t="shared" si="5"/>
        <v>0</v>
      </c>
      <c r="V86" s="89">
        <f t="shared" si="5"/>
        <v>-0.18797256086353012</v>
      </c>
      <c r="W86" s="89">
        <f t="shared" si="5"/>
        <v>0</v>
      </c>
      <c r="X86" s="89">
        <f t="shared" si="5"/>
        <v>-94.362229088709626</v>
      </c>
      <c r="Y86" s="89">
        <f t="shared" si="5"/>
        <v>0</v>
      </c>
      <c r="AQ86" s="3"/>
    </row>
    <row r="87" spans="5:43" x14ac:dyDescent="0.35">
      <c r="E87" s="32"/>
      <c r="F87" t="s">
        <v>196</v>
      </c>
      <c r="G87" t="s">
        <v>172</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35">
      <c r="E88" s="32"/>
      <c r="F88" t="s">
        <v>197</v>
      </c>
      <c r="G88" t="s">
        <v>172</v>
      </c>
      <c r="J88" s="89">
        <f t="shared" ref="J88:Y88" si="7">J$56 * J40 * J76 / hours_in_year / $H51</f>
        <v>221.55561139054294</v>
      </c>
      <c r="K88" s="89">
        <f t="shared" si="7"/>
        <v>6.4159109459624686</v>
      </c>
      <c r="L88" s="89">
        <f t="shared" si="7"/>
        <v>81.442018916122677</v>
      </c>
      <c r="M88" s="89">
        <f t="shared" si="7"/>
        <v>0.35644583543370989</v>
      </c>
      <c r="N88" s="89">
        <f>N$56 * N40 * N76 / hours_in_year / $H51</f>
        <v>94.32438919063425</v>
      </c>
      <c r="O88" s="89">
        <f t="shared" si="7"/>
        <v>6.1933747039632001</v>
      </c>
      <c r="P88" s="89">
        <f t="shared" si="7"/>
        <v>41.693888714273527</v>
      </c>
      <c r="Q88" s="89">
        <f t="shared" si="7"/>
        <v>5.6320440980442461</v>
      </c>
      <c r="R88" s="89">
        <f t="shared" si="7"/>
        <v>-0.34352559439952984</v>
      </c>
      <c r="S88" s="89">
        <f t="shared" si="7"/>
        <v>-1.0141274749960285E-4</v>
      </c>
      <c r="T88" s="89">
        <f t="shared" si="7"/>
        <v>-19.546052129978911</v>
      </c>
      <c r="U88" s="89">
        <f t="shared" si="7"/>
        <v>0</v>
      </c>
      <c r="V88" s="89">
        <f t="shared" si="7"/>
        <v>-0.16516603642808472</v>
      </c>
      <c r="W88" s="89">
        <f t="shared" si="7"/>
        <v>0</v>
      </c>
      <c r="X88" s="89">
        <f t="shared" si="7"/>
        <v>0</v>
      </c>
      <c r="Y88" s="89">
        <f t="shared" si="7"/>
        <v>0</v>
      </c>
      <c r="AQ88" s="3"/>
    </row>
    <row r="89" spans="5:43" x14ac:dyDescent="0.35">
      <c r="E89" s="32"/>
      <c r="F89" t="s">
        <v>198</v>
      </c>
      <c r="G89" t="s">
        <v>172</v>
      </c>
      <c r="J89" s="89">
        <f t="shared" ref="J89:Y89" si="8">J$56 * J41 * J77 / hours_in_year / $H52</f>
        <v>216.54398587369747</v>
      </c>
      <c r="K89" s="89">
        <f t="shared" si="8"/>
        <v>6.2707819518973418</v>
      </c>
      <c r="L89" s="89">
        <f t="shared" si="8"/>
        <v>79.599786631497849</v>
      </c>
      <c r="M89" s="89">
        <f t="shared" si="8"/>
        <v>0.34838297016470987</v>
      </c>
      <c r="N89" s="89">
        <f t="shared" si="8"/>
        <v>92.190755504889452</v>
      </c>
      <c r="O89" s="89">
        <f t="shared" si="8"/>
        <v>6.0532795174456533</v>
      </c>
      <c r="P89" s="89">
        <f t="shared" si="8"/>
        <v>0</v>
      </c>
      <c r="Q89" s="89">
        <f t="shared" si="8"/>
        <v>5.5046463050630372</v>
      </c>
      <c r="R89" s="89">
        <f t="shared" si="8"/>
        <v>-0.33575498717465829</v>
      </c>
      <c r="S89" s="89">
        <f t="shared" si="8"/>
        <v>0</v>
      </c>
      <c r="T89" s="89">
        <f t="shared" si="8"/>
        <v>-19.103917114786174</v>
      </c>
      <c r="U89" s="89">
        <f t="shared" si="8"/>
        <v>0</v>
      </c>
      <c r="V89" s="89">
        <f t="shared" si="8"/>
        <v>0</v>
      </c>
      <c r="W89" s="89">
        <f t="shared" si="8"/>
        <v>0</v>
      </c>
      <c r="X89" s="89">
        <f t="shared" si="8"/>
        <v>0</v>
      </c>
      <c r="Y89" s="89">
        <f t="shared" si="8"/>
        <v>0</v>
      </c>
      <c r="AQ89" s="3"/>
    </row>
    <row r="90" spans="5:43" x14ac:dyDescent="0.35">
      <c r="E90" s="32"/>
      <c r="F90" s="37" t="s">
        <v>199</v>
      </c>
      <c r="G90" s="37" t="s">
        <v>172</v>
      </c>
      <c r="H90" s="37"/>
      <c r="I90" s="37"/>
      <c r="J90" s="82">
        <f t="shared" ref="J90:Y90" si="9">J$56 * J42 * J78 / hours_in_year / $H53</f>
        <v>209.05656870972976</v>
      </c>
      <c r="K90" s="82">
        <f t="shared" si="9"/>
        <v>6.0539578261720468</v>
      </c>
      <c r="L90" s="82">
        <f t="shared" si="9"/>
        <v>76.847473717942876</v>
      </c>
      <c r="M90" s="82">
        <f t="shared" si="9"/>
        <v>0.33633697119632133</v>
      </c>
      <c r="N90" s="82">
        <f t="shared" si="9"/>
        <v>89.003086069779528</v>
      </c>
      <c r="O90" s="82">
        <f t="shared" si="9"/>
        <v>0</v>
      </c>
      <c r="P90" s="82">
        <f t="shared" si="9"/>
        <v>0</v>
      </c>
      <c r="Q90" s="82">
        <f t="shared" si="9"/>
        <v>5.3143127658524865</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35">
      <c r="E91" s="32"/>
      <c r="J91" s="89"/>
      <c r="K91" s="89"/>
      <c r="L91" s="89"/>
      <c r="M91" s="89"/>
      <c r="N91" s="89"/>
      <c r="O91" s="89"/>
      <c r="P91" s="89"/>
      <c r="Q91" s="89"/>
      <c r="R91" s="89"/>
      <c r="S91" s="89"/>
      <c r="T91" s="89"/>
      <c r="U91" s="89"/>
      <c r="V91" s="89"/>
      <c r="W91" s="89"/>
      <c r="X91" s="89"/>
      <c r="Y91" s="89"/>
      <c r="AQ91" s="3"/>
    </row>
    <row r="92" spans="5:43" x14ac:dyDescent="0.35">
      <c r="E92" s="32" t="s">
        <v>510</v>
      </c>
      <c r="J92" s="89"/>
      <c r="K92" s="89"/>
      <c r="L92" s="89"/>
      <c r="M92" s="89"/>
      <c r="N92" s="89"/>
      <c r="O92" s="89"/>
      <c r="P92" s="89"/>
      <c r="Q92" s="89"/>
      <c r="R92" s="89"/>
      <c r="S92" s="89"/>
      <c r="T92" s="89"/>
      <c r="U92" s="89"/>
      <c r="V92" s="89"/>
      <c r="W92" s="89"/>
      <c r="X92" s="89"/>
      <c r="Y92" s="89"/>
      <c r="AQ92" s="3"/>
    </row>
    <row r="93" spans="5:43" x14ac:dyDescent="0.35">
      <c r="E93" s="32"/>
      <c r="F93" s="23" t="s">
        <v>191</v>
      </c>
      <c r="G93" s="23" t="s">
        <v>283</v>
      </c>
      <c r="H93" s="23"/>
      <c r="I93" s="23"/>
      <c r="J93" s="124">
        <f>'Pseudo-load coefficients'!J283</f>
        <v>1.0900093429734632</v>
      </c>
      <c r="K93" s="124">
        <f>'Pseudo-load coefficients'!K283</f>
        <v>1.0900093429734632</v>
      </c>
      <c r="L93" s="124">
        <f>'Pseudo-load coefficients'!L283</f>
        <v>1.2508237807795348</v>
      </c>
      <c r="M93" s="124">
        <f>'Pseudo-load coefficients'!M283</f>
        <v>1.2508237807795348</v>
      </c>
      <c r="N93" s="124">
        <f>'Pseudo-load coefficients'!N283</f>
        <v>1.0623476706668002</v>
      </c>
      <c r="O93" s="124">
        <f>'Pseudo-load coefficients'!O283</f>
        <v>0.90632297991997546</v>
      </c>
      <c r="P93" s="124">
        <f>'Pseudo-load coefficients'!P283</f>
        <v>0.95209358756766516</v>
      </c>
      <c r="Q93" s="124">
        <f>'Pseudo-load coefficients'!Q283</f>
        <v>0.74694624721662772</v>
      </c>
      <c r="R93" s="124">
        <f>'Pseudo-load coefficients'!R283</f>
        <v>0.84264434242506081</v>
      </c>
      <c r="S93" s="124">
        <f>'Pseudo-load coefficients'!S283</f>
        <v>0.84264434242506081</v>
      </c>
      <c r="T93" s="124">
        <f>'Pseudo-load coefficients'!T283</f>
        <v>0.84264434242506081</v>
      </c>
      <c r="U93" s="124">
        <f>'Pseudo-load coefficients'!U283</f>
        <v>0.84264434242506081</v>
      </c>
      <c r="V93" s="124">
        <f>'Pseudo-load coefficients'!V283</f>
        <v>0.84264434242506081</v>
      </c>
      <c r="W93" s="124">
        <f>'Pseudo-load coefficients'!W283</f>
        <v>0.84264434242506081</v>
      </c>
      <c r="X93" s="124">
        <f>'Pseudo-load coefficients'!X283</f>
        <v>0.84264434242506081</v>
      </c>
      <c r="Y93" s="124">
        <f>'Pseudo-load coefficients'!Y283</f>
        <v>0.84264434242506081</v>
      </c>
      <c r="AQ93" s="3"/>
    </row>
    <row r="94" spans="5:43" x14ac:dyDescent="0.35">
      <c r="E94" s="32"/>
      <c r="F94" t="s">
        <v>192</v>
      </c>
      <c r="G94" t="s">
        <v>283</v>
      </c>
      <c r="J94" s="120">
        <f>'Pseudo-load coefficients'!J284</f>
        <v>0</v>
      </c>
      <c r="K94" s="120">
        <f>'Pseudo-load coefficients'!K284</f>
        <v>0</v>
      </c>
      <c r="L94" s="120">
        <f>'Pseudo-load coefficients'!L284</f>
        <v>0</v>
      </c>
      <c r="M94" s="120">
        <f>'Pseudo-load coefficients'!M284</f>
        <v>0</v>
      </c>
      <c r="N94" s="120">
        <f>'Pseudo-load coefficients'!N284</f>
        <v>0</v>
      </c>
      <c r="O94" s="120">
        <f>'Pseudo-load coefficients'!O284</f>
        <v>0</v>
      </c>
      <c r="P94" s="120">
        <f>'Pseudo-load coefficients'!P284</f>
        <v>0</v>
      </c>
      <c r="Q94" s="120">
        <f>'Pseudo-load coefficients'!Q284</f>
        <v>0</v>
      </c>
      <c r="R94" s="120">
        <f>'Pseudo-load coefficients'!R284</f>
        <v>0</v>
      </c>
      <c r="S94" s="120">
        <f>'Pseudo-load coefficients'!S284</f>
        <v>0</v>
      </c>
      <c r="T94" s="120">
        <f>'Pseudo-load coefficients'!T284</f>
        <v>0</v>
      </c>
      <c r="U94" s="120">
        <f>'Pseudo-load coefficients'!U284</f>
        <v>0</v>
      </c>
      <c r="V94" s="120">
        <f>'Pseudo-load coefficients'!V284</f>
        <v>0</v>
      </c>
      <c r="W94" s="120">
        <f>'Pseudo-load coefficients'!W284</f>
        <v>0</v>
      </c>
      <c r="X94" s="120">
        <f>'Pseudo-load coefficients'!X284</f>
        <v>0</v>
      </c>
      <c r="Y94" s="120">
        <f>'Pseudo-load coefficients'!Y284</f>
        <v>0</v>
      </c>
      <c r="AQ94" s="3"/>
    </row>
    <row r="95" spans="5:43" x14ac:dyDescent="0.35">
      <c r="E95" s="32"/>
      <c r="F95" t="s">
        <v>193</v>
      </c>
      <c r="G95" t="s">
        <v>283</v>
      </c>
      <c r="J95" s="120">
        <f>'Pseudo-load coefficients'!J285</f>
        <v>0</v>
      </c>
      <c r="K95" s="120">
        <f>'Pseudo-load coefficients'!K285</f>
        <v>0</v>
      </c>
      <c r="L95" s="120">
        <f>'Pseudo-load coefficients'!L285</f>
        <v>0</v>
      </c>
      <c r="M95" s="120">
        <f>'Pseudo-load coefficients'!M285</f>
        <v>0</v>
      </c>
      <c r="N95" s="120">
        <f>'Pseudo-load coefficients'!N285</f>
        <v>0</v>
      </c>
      <c r="O95" s="120">
        <f>'Pseudo-load coefficients'!O285</f>
        <v>0</v>
      </c>
      <c r="P95" s="120">
        <f>'Pseudo-load coefficients'!P285</f>
        <v>0</v>
      </c>
      <c r="Q95" s="120">
        <f>'Pseudo-load coefficients'!Q285</f>
        <v>0</v>
      </c>
      <c r="R95" s="120">
        <f>'Pseudo-load coefficients'!R285</f>
        <v>0</v>
      </c>
      <c r="S95" s="120">
        <f>'Pseudo-load coefficients'!S285</f>
        <v>0</v>
      </c>
      <c r="T95" s="120">
        <f>'Pseudo-load coefficients'!T285</f>
        <v>0</v>
      </c>
      <c r="U95" s="120">
        <f>'Pseudo-load coefficients'!U285</f>
        <v>0</v>
      </c>
      <c r="V95" s="120">
        <f>'Pseudo-load coefficients'!V285</f>
        <v>0</v>
      </c>
      <c r="W95" s="120">
        <f>'Pseudo-load coefficients'!W285</f>
        <v>0</v>
      </c>
      <c r="X95" s="120">
        <f>'Pseudo-load coefficients'!X285</f>
        <v>0</v>
      </c>
      <c r="Y95" s="120">
        <f>'Pseudo-load coefficients'!Y285</f>
        <v>0</v>
      </c>
      <c r="AQ95" s="3"/>
    </row>
    <row r="96" spans="5:43" x14ac:dyDescent="0.35">
      <c r="E96" s="32"/>
      <c r="F96" t="s">
        <v>194</v>
      </c>
      <c r="G96" t="s">
        <v>283</v>
      </c>
      <c r="J96" s="120">
        <f>'Pseudo-load coefficients'!J286</f>
        <v>1.2546429832092079</v>
      </c>
      <c r="K96" s="120">
        <f>'Pseudo-load coefficients'!K286</f>
        <v>1.2546429832092079</v>
      </c>
      <c r="L96" s="120">
        <f>'Pseudo-load coefficients'!L286</f>
        <v>1.4397466314419123</v>
      </c>
      <c r="M96" s="120">
        <f>'Pseudo-load coefficients'!M286</f>
        <v>1.4397466314419123</v>
      </c>
      <c r="N96" s="120">
        <f>'Pseudo-load coefficients'!N286</f>
        <v>1.2228033267079956</v>
      </c>
      <c r="O96" s="120">
        <f>'Pseudo-load coefficients'!O286</f>
        <v>1.0432128629062041</v>
      </c>
      <c r="P96" s="120">
        <f>'Pseudo-load coefficients'!P286</f>
        <v>1.0958966055663746</v>
      </c>
      <c r="Q96" s="120">
        <f>'Pseudo-load coefficients'!Q286</f>
        <v>0.85129943285347942</v>
      </c>
      <c r="R96" s="120">
        <f>'Pseudo-load coefficients'!R286</f>
        <v>0.96991628409397779</v>
      </c>
      <c r="S96" s="120">
        <f>'Pseudo-load coefficients'!S286</f>
        <v>0.96991628409397779</v>
      </c>
      <c r="T96" s="120">
        <f>'Pseudo-load coefficients'!T286</f>
        <v>0.96991628409397779</v>
      </c>
      <c r="U96" s="120">
        <f>'Pseudo-load coefficients'!U286</f>
        <v>0.96991628409397779</v>
      </c>
      <c r="V96" s="120">
        <f>'Pseudo-load coefficients'!V286</f>
        <v>0.96991628409397779</v>
      </c>
      <c r="W96" s="120">
        <f>'Pseudo-load coefficients'!W286</f>
        <v>0.96991628409397779</v>
      </c>
      <c r="X96" s="120">
        <f>'Pseudo-load coefficients'!X286</f>
        <v>0.96991628409397779</v>
      </c>
      <c r="Y96" s="120">
        <f>'Pseudo-load coefficients'!Y286</f>
        <v>0.96991628409397779</v>
      </c>
      <c r="AQ96" s="3"/>
    </row>
    <row r="97" spans="5:43" x14ac:dyDescent="0.35">
      <c r="E97" s="32"/>
      <c r="F97" t="s">
        <v>195</v>
      </c>
      <c r="G97" t="s">
        <v>283</v>
      </c>
      <c r="J97" s="120">
        <f>'Pseudo-load coefficients'!J287</f>
        <v>1.2546429832092079</v>
      </c>
      <c r="K97" s="120">
        <f>'Pseudo-load coefficients'!K287</f>
        <v>1.2546429832092079</v>
      </c>
      <c r="L97" s="120">
        <f>'Pseudo-load coefficients'!L287</f>
        <v>1.4397466314419123</v>
      </c>
      <c r="M97" s="120">
        <f>'Pseudo-load coefficients'!M287</f>
        <v>1.4397466314419123</v>
      </c>
      <c r="N97" s="120">
        <f>'Pseudo-load coefficients'!N287</f>
        <v>1.2228033267079956</v>
      </c>
      <c r="O97" s="120">
        <f>'Pseudo-load coefficients'!O287</f>
        <v>1.0432128629062041</v>
      </c>
      <c r="P97" s="120">
        <f>'Pseudo-load coefficients'!P287</f>
        <v>1.0958966055663746</v>
      </c>
      <c r="Q97" s="120">
        <f>'Pseudo-load coefficients'!Q287</f>
        <v>0.85129943285347942</v>
      </c>
      <c r="R97" s="120">
        <f>'Pseudo-load coefficients'!R287</f>
        <v>0.96991628409397779</v>
      </c>
      <c r="S97" s="120">
        <f>'Pseudo-load coefficients'!S287</f>
        <v>0.96991628409397779</v>
      </c>
      <c r="T97" s="120">
        <f>'Pseudo-load coefficients'!T287</f>
        <v>0.96991628409397779</v>
      </c>
      <c r="U97" s="120">
        <f>'Pseudo-load coefficients'!U287</f>
        <v>0.96991628409397779</v>
      </c>
      <c r="V97" s="120">
        <f>'Pseudo-load coefficients'!V287</f>
        <v>0.96991628409397779</v>
      </c>
      <c r="W97" s="120">
        <f>'Pseudo-load coefficients'!W287</f>
        <v>0.96991628409397779</v>
      </c>
      <c r="X97" s="120">
        <f>'Pseudo-load coefficients'!X287</f>
        <v>0.96991628409397779</v>
      </c>
      <c r="Y97" s="120">
        <f>'Pseudo-load coefficients'!Y287</f>
        <v>0.96991628409397779</v>
      </c>
      <c r="AQ97" s="3"/>
    </row>
    <row r="98" spans="5:43" x14ac:dyDescent="0.35">
      <c r="E98" s="32"/>
      <c r="F98" t="s">
        <v>196</v>
      </c>
      <c r="G98" t="s">
        <v>283</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35">
      <c r="E99" s="32"/>
      <c r="F99" t="s">
        <v>197</v>
      </c>
      <c r="G99" t="s">
        <v>283</v>
      </c>
      <c r="J99" s="120">
        <f>'Pseudo-load coefficients'!J289</f>
        <v>1.3464461283220768</v>
      </c>
      <c r="K99" s="120">
        <f>'Pseudo-load coefficients'!K289</f>
        <v>1.3464461283220768</v>
      </c>
      <c r="L99" s="120">
        <f>'Pseudo-load coefficients'!L289</f>
        <v>1.545093945937662</v>
      </c>
      <c r="M99" s="120">
        <f>'Pseudo-load coefficients'!M289</f>
        <v>1.545093945937662</v>
      </c>
      <c r="N99" s="120">
        <f>'Pseudo-load coefficients'!N289</f>
        <v>1.3122767408573612</v>
      </c>
      <c r="O99" s="120">
        <f>'Pseudo-load coefficients'!O289</f>
        <v>1.1195455114115362</v>
      </c>
      <c r="P99" s="120">
        <f>'Pseudo-load coefficients'!P289</f>
        <v>1.1760841620712315</v>
      </c>
      <c r="Q99" s="120">
        <f>'Pseudo-load coefficients'!Q289</f>
        <v>0.88675660518173527</v>
      </c>
      <c r="R99" s="120">
        <f>'Pseudo-load coefficients'!R289</f>
        <v>1.0408857682959762</v>
      </c>
      <c r="S99" s="120">
        <f>'Pseudo-load coefficients'!S289</f>
        <v>1.0408857682959762</v>
      </c>
      <c r="T99" s="120">
        <f>'Pseudo-load coefficients'!T289</f>
        <v>1.0408857682959762</v>
      </c>
      <c r="U99" s="120">
        <f>'Pseudo-load coefficients'!U289</f>
        <v>1.0408857682959762</v>
      </c>
      <c r="V99" s="120">
        <f>'Pseudo-load coefficients'!V289</f>
        <v>1.0408857682959762</v>
      </c>
      <c r="W99" s="120">
        <f>'Pseudo-load coefficients'!W289</f>
        <v>1.0408857682959762</v>
      </c>
      <c r="X99" s="120">
        <f>'Pseudo-load coefficients'!X289</f>
        <v>1.0408857682959762</v>
      </c>
      <c r="Y99" s="120">
        <f>'Pseudo-load coefficients'!Y289</f>
        <v>1.0408857682959762</v>
      </c>
      <c r="AQ99" s="3"/>
    </row>
    <row r="100" spans="5:43" x14ac:dyDescent="0.35">
      <c r="E100" s="32"/>
      <c r="F100" t="s">
        <v>198</v>
      </c>
      <c r="G100" t="s">
        <v>283</v>
      </c>
      <c r="J100" s="120">
        <f>'Pseudo-load coefficients'!J290</f>
        <v>1.3464461283220768</v>
      </c>
      <c r="K100" s="120">
        <f>'Pseudo-load coefficients'!K290</f>
        <v>1.3464461283220768</v>
      </c>
      <c r="L100" s="120">
        <f>'Pseudo-load coefficients'!L290</f>
        <v>1.545093945937662</v>
      </c>
      <c r="M100" s="120">
        <f>'Pseudo-load coefficients'!M290</f>
        <v>1.545093945937662</v>
      </c>
      <c r="N100" s="120">
        <f>'Pseudo-load coefficients'!N290</f>
        <v>1.3122767408573612</v>
      </c>
      <c r="O100" s="120">
        <f>'Pseudo-load coefficients'!O290</f>
        <v>1.1195455114115362</v>
      </c>
      <c r="P100" s="120">
        <f>'Pseudo-load coefficients'!P290</f>
        <v>1.1760841620712315</v>
      </c>
      <c r="Q100" s="120">
        <f>'Pseudo-load coefficients'!Q290</f>
        <v>0.88675660518173527</v>
      </c>
      <c r="R100" s="120">
        <f>'Pseudo-load coefficients'!R290</f>
        <v>1.0408857682959762</v>
      </c>
      <c r="S100" s="120">
        <f>'Pseudo-load coefficients'!S290</f>
        <v>1.0408857682959762</v>
      </c>
      <c r="T100" s="120">
        <f>'Pseudo-load coefficients'!T290</f>
        <v>1.0408857682959762</v>
      </c>
      <c r="U100" s="120">
        <f>'Pseudo-load coefficients'!U290</f>
        <v>1.0408857682959762</v>
      </c>
      <c r="V100" s="120">
        <f>'Pseudo-load coefficients'!V290</f>
        <v>1.0408857682959762</v>
      </c>
      <c r="W100" s="120">
        <f>'Pseudo-load coefficients'!W290</f>
        <v>1.0408857682959762</v>
      </c>
      <c r="X100" s="120">
        <f>'Pseudo-load coefficients'!X290</f>
        <v>1.0408857682959762</v>
      </c>
      <c r="Y100" s="120">
        <f>'Pseudo-load coefficients'!Y290</f>
        <v>1.0408857682959762</v>
      </c>
      <c r="AQ100" s="3"/>
    </row>
    <row r="101" spans="5:43" x14ac:dyDescent="0.35">
      <c r="E101" s="32"/>
      <c r="F101" s="37" t="s">
        <v>199</v>
      </c>
      <c r="G101" s="37" t="s">
        <v>283</v>
      </c>
      <c r="H101" s="37"/>
      <c r="I101" s="37"/>
      <c r="J101" s="125">
        <f>'Pseudo-load coefficients'!J291</f>
        <v>1.3464461283220768</v>
      </c>
      <c r="K101" s="125">
        <f>'Pseudo-load coefficients'!K291</f>
        <v>1.3464461283220768</v>
      </c>
      <c r="L101" s="125">
        <f>'Pseudo-load coefficients'!L291</f>
        <v>1.545093945937662</v>
      </c>
      <c r="M101" s="125">
        <f>'Pseudo-load coefficients'!M291</f>
        <v>1.545093945937662</v>
      </c>
      <c r="N101" s="125">
        <f>'Pseudo-load coefficients'!N291</f>
        <v>1.3122767408573612</v>
      </c>
      <c r="O101" s="125">
        <f>'Pseudo-load coefficients'!O291</f>
        <v>1.1195455114115362</v>
      </c>
      <c r="P101" s="125">
        <f>'Pseudo-load coefficients'!P291</f>
        <v>1.1760841620712315</v>
      </c>
      <c r="Q101" s="125">
        <f>'Pseudo-load coefficients'!Q291</f>
        <v>0.88675660518173527</v>
      </c>
      <c r="R101" s="125">
        <f>'Pseudo-load coefficients'!R291</f>
        <v>1.0408857682959762</v>
      </c>
      <c r="S101" s="125">
        <f>'Pseudo-load coefficients'!S291</f>
        <v>1.0408857682959762</v>
      </c>
      <c r="T101" s="125">
        <f>'Pseudo-load coefficients'!T291</f>
        <v>1.0408857682959762</v>
      </c>
      <c r="U101" s="125">
        <f>'Pseudo-load coefficients'!U291</f>
        <v>1.0408857682959762</v>
      </c>
      <c r="V101" s="125">
        <f>'Pseudo-load coefficients'!V291</f>
        <v>1.0408857682959762</v>
      </c>
      <c r="W101" s="125">
        <f>'Pseudo-load coefficients'!W291</f>
        <v>1.0408857682959762</v>
      </c>
      <c r="X101" s="125">
        <f>'Pseudo-load coefficients'!X291</f>
        <v>1.0408857682959762</v>
      </c>
      <c r="Y101" s="125">
        <f>'Pseudo-load coefficients'!Y291</f>
        <v>1.0408857682959762</v>
      </c>
      <c r="AQ101" s="3"/>
    </row>
    <row r="102" spans="5:43" x14ac:dyDescent="0.35">
      <c r="E102" s="32"/>
      <c r="J102" s="89"/>
      <c r="K102" s="89"/>
      <c r="L102" s="89"/>
      <c r="M102" s="89"/>
      <c r="N102" s="89"/>
      <c r="O102" s="89"/>
      <c r="P102" s="89"/>
      <c r="Q102" s="89"/>
      <c r="R102" s="89"/>
      <c r="S102" s="89"/>
      <c r="T102" s="89"/>
      <c r="U102" s="89"/>
      <c r="V102" s="89"/>
      <c r="W102" s="89"/>
      <c r="X102" s="89"/>
      <c r="Y102" s="89"/>
      <c r="AQ102" s="3"/>
    </row>
    <row r="103" spans="5:43" x14ac:dyDescent="0.35">
      <c r="E103" s="32" t="s">
        <v>511</v>
      </c>
      <c r="J103" s="89"/>
      <c r="K103" s="89"/>
      <c r="L103" s="89"/>
      <c r="M103" s="89"/>
      <c r="N103" s="89"/>
      <c r="O103" s="89"/>
      <c r="P103" s="89"/>
      <c r="Q103" s="89"/>
      <c r="R103" s="89"/>
      <c r="S103" s="89"/>
      <c r="T103" s="89"/>
      <c r="U103" s="89"/>
      <c r="V103" s="89"/>
      <c r="W103" s="89"/>
      <c r="X103" s="89"/>
      <c r="Y103" s="89"/>
      <c r="AQ103" s="3"/>
    </row>
    <row r="104" spans="5:43" x14ac:dyDescent="0.35">
      <c r="E104" s="29" t="s">
        <v>512</v>
      </c>
      <c r="J104" s="89"/>
      <c r="K104" s="89"/>
      <c r="L104" s="89"/>
      <c r="M104" s="89"/>
      <c r="N104" s="89"/>
      <c r="O104" s="89"/>
      <c r="P104" s="89"/>
      <c r="Q104" s="89"/>
      <c r="R104" s="89"/>
      <c r="S104" s="89"/>
      <c r="T104" s="89"/>
      <c r="U104" s="89"/>
      <c r="V104" s="89"/>
      <c r="W104" s="89"/>
      <c r="X104" s="89"/>
      <c r="Y104" s="89"/>
      <c r="AQ104" s="3"/>
    </row>
    <row r="105" spans="5:43" x14ac:dyDescent="0.35">
      <c r="E105" s="32"/>
      <c r="F105" s="23" t="s">
        <v>191</v>
      </c>
      <c r="G105" s="23" t="s">
        <v>172</v>
      </c>
      <c r="H105" s="23"/>
      <c r="I105" s="23"/>
      <c r="J105" s="158">
        <f t="shared" ref="J105:Y105" si="10">J$57 * J34 * J93 / hours_in_year / $H45</f>
        <v>170.02546818824703</v>
      </c>
      <c r="K105" s="158">
        <f t="shared" si="10"/>
        <v>20.005060375494992</v>
      </c>
      <c r="L105" s="158">
        <f t="shared" si="10"/>
        <v>84.901070966140992</v>
      </c>
      <c r="M105" s="158">
        <f t="shared" si="10"/>
        <v>1.3984025948638754</v>
      </c>
      <c r="N105" s="158">
        <f t="shared" si="10"/>
        <v>94.640829793332841</v>
      </c>
      <c r="O105" s="158">
        <f t="shared" si="10"/>
        <v>5.8537277370550402</v>
      </c>
      <c r="P105" s="158">
        <f t="shared" si="10"/>
        <v>41.229597247052141</v>
      </c>
      <c r="Q105" s="158">
        <f t="shared" si="10"/>
        <v>2.7473359525020764</v>
      </c>
      <c r="R105" s="158">
        <f t="shared" si="10"/>
        <v>-0.37025076559690617</v>
      </c>
      <c r="S105" s="158">
        <f t="shared" si="10"/>
        <v>-1.4196546751282744E-4</v>
      </c>
      <c r="T105" s="158">
        <f t="shared" si="10"/>
        <v>-18.735297421954087</v>
      </c>
      <c r="U105" s="158">
        <f t="shared" si="10"/>
        <v>0</v>
      </c>
      <c r="V105" s="158">
        <f t="shared" si="10"/>
        <v>-0.15186279639476338</v>
      </c>
      <c r="W105" s="158">
        <f t="shared" si="10"/>
        <v>0</v>
      </c>
      <c r="X105" s="158">
        <f t="shared" si="10"/>
        <v>-71.068588819036123</v>
      </c>
      <c r="Y105" s="158">
        <f t="shared" si="10"/>
        <v>0</v>
      </c>
      <c r="AQ105" s="3"/>
    </row>
    <row r="106" spans="5:43" x14ac:dyDescent="0.35">
      <c r="E106" s="32"/>
      <c r="F106" t="s">
        <v>192</v>
      </c>
      <c r="G106" t="s">
        <v>172</v>
      </c>
      <c r="J106" s="89">
        <f t="shared" ref="J106:Y106" si="11">J$57 * J35 * J94 / hours_in_year / $H46</f>
        <v>0</v>
      </c>
      <c r="K106" s="89">
        <f t="shared" si="11"/>
        <v>0</v>
      </c>
      <c r="L106" s="89">
        <f t="shared" si="11"/>
        <v>0</v>
      </c>
      <c r="M106" s="89">
        <f t="shared" si="11"/>
        <v>0</v>
      </c>
      <c r="N106" s="89">
        <f t="shared" si="11"/>
        <v>0</v>
      </c>
      <c r="O106" s="89">
        <f t="shared" si="11"/>
        <v>0</v>
      </c>
      <c r="P106" s="89">
        <f t="shared" si="11"/>
        <v>0</v>
      </c>
      <c r="Q106" s="89">
        <f t="shared" si="11"/>
        <v>0</v>
      </c>
      <c r="R106" s="89">
        <f t="shared" si="11"/>
        <v>0</v>
      </c>
      <c r="S106" s="89">
        <f t="shared" si="11"/>
        <v>0</v>
      </c>
      <c r="T106" s="89">
        <f t="shared" si="11"/>
        <v>0</v>
      </c>
      <c r="U106" s="89">
        <f t="shared" si="11"/>
        <v>0</v>
      </c>
      <c r="V106" s="89">
        <f t="shared" si="11"/>
        <v>0</v>
      </c>
      <c r="W106" s="89">
        <f t="shared" si="11"/>
        <v>0</v>
      </c>
      <c r="X106" s="89">
        <f t="shared" si="11"/>
        <v>0</v>
      </c>
      <c r="Y106" s="89">
        <f t="shared" si="11"/>
        <v>0</v>
      </c>
      <c r="AQ106" s="3"/>
    </row>
    <row r="107" spans="5:43" x14ac:dyDescent="0.35">
      <c r="E107" s="32"/>
      <c r="F107" t="s">
        <v>193</v>
      </c>
      <c r="G107" t="s">
        <v>172</v>
      </c>
      <c r="J107" s="89">
        <f t="shared" ref="J107:Y107" si="12">J$57 * J36 * J95 / hours_in_year / $H47</f>
        <v>0</v>
      </c>
      <c r="K107" s="89">
        <f t="shared" si="12"/>
        <v>0</v>
      </c>
      <c r="L107" s="89">
        <f t="shared" si="12"/>
        <v>0</v>
      </c>
      <c r="M107" s="89">
        <f t="shared" si="12"/>
        <v>0</v>
      </c>
      <c r="N107" s="89">
        <f t="shared" si="12"/>
        <v>0</v>
      </c>
      <c r="O107" s="89">
        <f t="shared" si="12"/>
        <v>0</v>
      </c>
      <c r="P107" s="89">
        <f t="shared" si="12"/>
        <v>0</v>
      </c>
      <c r="Q107" s="89">
        <f t="shared" si="12"/>
        <v>0</v>
      </c>
      <c r="R107" s="89">
        <f t="shared" si="12"/>
        <v>0</v>
      </c>
      <c r="S107" s="89">
        <f t="shared" si="12"/>
        <v>0</v>
      </c>
      <c r="T107" s="89">
        <f t="shared" si="12"/>
        <v>0</v>
      </c>
      <c r="U107" s="89">
        <f t="shared" si="12"/>
        <v>0</v>
      </c>
      <c r="V107" s="89">
        <f t="shared" si="12"/>
        <v>0</v>
      </c>
      <c r="W107" s="89">
        <f t="shared" si="12"/>
        <v>0</v>
      </c>
      <c r="X107" s="89">
        <f t="shared" si="12"/>
        <v>0</v>
      </c>
      <c r="Y107" s="89">
        <f t="shared" si="12"/>
        <v>0</v>
      </c>
      <c r="AQ107" s="3"/>
    </row>
    <row r="108" spans="5:43" x14ac:dyDescent="0.35">
      <c r="E108" s="32"/>
      <c r="F108" t="s">
        <v>194</v>
      </c>
      <c r="G108" t="s">
        <v>172</v>
      </c>
      <c r="J108" s="89">
        <f t="shared" ref="J108:Y108" si="13">J$57 * J37 * J96 / hours_in_year / $H48</f>
        <v>192.81369562453506</v>
      </c>
      <c r="K108" s="89">
        <f t="shared" si="13"/>
        <v>22.686304959445891</v>
      </c>
      <c r="L108" s="89">
        <f t="shared" si="13"/>
        <v>96.280218663112834</v>
      </c>
      <c r="M108" s="89">
        <f t="shared" si="13"/>
        <v>1.5858281418646987</v>
      </c>
      <c r="N108" s="89">
        <f t="shared" si="13"/>
        <v>107.32538097893327</v>
      </c>
      <c r="O108" s="89">
        <f t="shared" si="13"/>
        <v>6.6382930168543339</v>
      </c>
      <c r="P108" s="89">
        <f t="shared" si="13"/>
        <v>46.755530797972511</v>
      </c>
      <c r="Q108" s="89">
        <f t="shared" si="13"/>
        <v>3.0848831735425146</v>
      </c>
      <c r="R108" s="89">
        <f t="shared" si="13"/>
        <v>-0.41987485276919084</v>
      </c>
      <c r="S108" s="89">
        <f t="shared" si="13"/>
        <v>-1.6099286026906689E-4</v>
      </c>
      <c r="T108" s="89">
        <f t="shared" si="13"/>
        <v>-21.246357813596653</v>
      </c>
      <c r="U108" s="89">
        <f t="shared" si="13"/>
        <v>0</v>
      </c>
      <c r="V108" s="89">
        <f t="shared" si="13"/>
        <v>-0.17221671148895976</v>
      </c>
      <c r="W108" s="89">
        <f t="shared" si="13"/>
        <v>0</v>
      </c>
      <c r="X108" s="89">
        <f t="shared" si="13"/>
        <v>-80.593792206749427</v>
      </c>
      <c r="Y108" s="89">
        <f t="shared" si="13"/>
        <v>0</v>
      </c>
      <c r="AQ108" s="3"/>
    </row>
    <row r="109" spans="5:43" x14ac:dyDescent="0.35">
      <c r="E109" s="32"/>
      <c r="F109" t="s">
        <v>195</v>
      </c>
      <c r="G109" t="s">
        <v>172</v>
      </c>
      <c r="J109" s="89">
        <f t="shared" ref="J109:Y109" si="14">J$57 * J38 * J97 / hours_in_year / $H49</f>
        <v>190.37539013511972</v>
      </c>
      <c r="K109" s="89">
        <f t="shared" si="14"/>
        <v>22.399415888947058</v>
      </c>
      <c r="L109" s="89">
        <f t="shared" si="14"/>
        <v>95.062667259785513</v>
      </c>
      <c r="M109" s="89">
        <f t="shared" si="14"/>
        <v>1.5657738949345028</v>
      </c>
      <c r="N109" s="89">
        <f t="shared" si="14"/>
        <v>105.96815339846036</v>
      </c>
      <c r="O109" s="89">
        <f t="shared" si="14"/>
        <v>6.5543457316217388</v>
      </c>
      <c r="P109" s="89">
        <f t="shared" si="14"/>
        <v>46.164264357920324</v>
      </c>
      <c r="Q109" s="89">
        <f t="shared" si="14"/>
        <v>3.0458720050054979</v>
      </c>
      <c r="R109" s="89">
        <f t="shared" si="14"/>
        <v>-0.414565151323666</v>
      </c>
      <c r="S109" s="89">
        <f t="shared" si="14"/>
        <v>-1.5895695833959423E-4</v>
      </c>
      <c r="T109" s="89">
        <f t="shared" si="14"/>
        <v>-20.977678191440273</v>
      </c>
      <c r="U109" s="89">
        <f t="shared" si="14"/>
        <v>0</v>
      </c>
      <c r="V109" s="89">
        <f t="shared" si="14"/>
        <v>-0.17003887369775694</v>
      </c>
      <c r="W109" s="89">
        <f t="shared" si="14"/>
        <v>0</v>
      </c>
      <c r="X109" s="89">
        <f t="shared" si="14"/>
        <v>-79.574610009582358</v>
      </c>
      <c r="Y109" s="89">
        <f t="shared" si="14"/>
        <v>0</v>
      </c>
      <c r="AQ109" s="3"/>
    </row>
    <row r="110" spans="5:43" x14ac:dyDescent="0.35">
      <c r="E110" s="32"/>
      <c r="F110" t="s">
        <v>196</v>
      </c>
      <c r="G110" t="s">
        <v>172</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35">
      <c r="E111" s="32"/>
      <c r="F111" t="s">
        <v>197</v>
      </c>
      <c r="G111" t="s">
        <v>172</v>
      </c>
      <c r="J111" s="89">
        <f t="shared" ref="J111:Y111" si="16">J$57 * J40 * J99 / hours_in_year / $H51</f>
        <v>202.53215529298251</v>
      </c>
      <c r="K111" s="89">
        <f t="shared" si="16"/>
        <v>23.829771138341219</v>
      </c>
      <c r="L111" s="89">
        <f t="shared" si="16"/>
        <v>101.13306596172399</v>
      </c>
      <c r="M111" s="89">
        <f t="shared" si="16"/>
        <v>1.6657592213862091</v>
      </c>
      <c r="N111" s="89">
        <f t="shared" si="16"/>
        <v>112.7349416590813</v>
      </c>
      <c r="O111" s="89">
        <f t="shared" si="16"/>
        <v>6.9728853431031013</v>
      </c>
      <c r="P111" s="89">
        <f t="shared" si="16"/>
        <v>49.11216702583561</v>
      </c>
      <c r="Q111" s="89">
        <f t="shared" si="16"/>
        <v>3.1451987584667642</v>
      </c>
      <c r="R111" s="89">
        <f t="shared" si="16"/>
        <v>-0.44103795951436037</v>
      </c>
      <c r="S111" s="89">
        <f t="shared" si="16"/>
        <v>-1.6910744266097156E-4</v>
      </c>
      <c r="T111" s="89">
        <f t="shared" si="16"/>
        <v>-22.317245806506257</v>
      </c>
      <c r="U111" s="89">
        <f t="shared" si="16"/>
        <v>0</v>
      </c>
      <c r="V111" s="89">
        <f t="shared" si="16"/>
        <v>-0.18089701378500231</v>
      </c>
      <c r="W111" s="89">
        <f t="shared" si="16"/>
        <v>0</v>
      </c>
      <c r="X111" s="89">
        <f t="shared" si="16"/>
        <v>0</v>
      </c>
      <c r="Y111" s="89">
        <f t="shared" si="16"/>
        <v>0</v>
      </c>
      <c r="AQ111" s="3"/>
    </row>
    <row r="112" spans="5:43" x14ac:dyDescent="0.35">
      <c r="E112" s="32"/>
      <c r="F112" t="s">
        <v>198</v>
      </c>
      <c r="G112" t="s">
        <v>172</v>
      </c>
      <c r="J112" s="89">
        <f t="shared" ref="J112:Y112" si="17">J$57 * J41 * J100 / hours_in_year / $H52</f>
        <v>197.9508435804174</v>
      </c>
      <c r="K112" s="89">
        <f t="shared" si="17"/>
        <v>23.290737672440944</v>
      </c>
      <c r="L112" s="89">
        <f t="shared" si="17"/>
        <v>98.845418852316456</v>
      </c>
      <c r="M112" s="89">
        <f t="shared" si="17"/>
        <v>1.6280794652002817</v>
      </c>
      <c r="N112" s="89">
        <f t="shared" si="17"/>
        <v>110.18485815312658</v>
      </c>
      <c r="O112" s="89">
        <f t="shared" si="17"/>
        <v>6.8151574936832384</v>
      </c>
      <c r="P112" s="89">
        <f t="shared" si="17"/>
        <v>0</v>
      </c>
      <c r="Q112" s="89">
        <f t="shared" si="17"/>
        <v>3.0740538289632746</v>
      </c>
      <c r="R112" s="89">
        <f t="shared" si="17"/>
        <v>-0.43106160604749455</v>
      </c>
      <c r="S112" s="89">
        <f t="shared" si="17"/>
        <v>0</v>
      </c>
      <c r="T112" s="89">
        <f t="shared" si="17"/>
        <v>-21.81242592021394</v>
      </c>
      <c r="U112" s="89">
        <f t="shared" si="17"/>
        <v>0</v>
      </c>
      <c r="V112" s="89">
        <f t="shared" si="17"/>
        <v>0</v>
      </c>
      <c r="W112" s="89">
        <f t="shared" si="17"/>
        <v>0</v>
      </c>
      <c r="X112" s="89">
        <f t="shared" si="17"/>
        <v>0</v>
      </c>
      <c r="Y112" s="89">
        <f t="shared" si="17"/>
        <v>0</v>
      </c>
      <c r="AQ112" s="3"/>
    </row>
    <row r="113" spans="5:43" x14ac:dyDescent="0.35">
      <c r="E113" s="32"/>
      <c r="F113" s="37" t="s">
        <v>199</v>
      </c>
      <c r="G113" s="37" t="s">
        <v>172</v>
      </c>
      <c r="H113" s="37"/>
      <c r="I113" s="37"/>
      <c r="J113" s="82">
        <f t="shared" ref="J113:Y113" si="18">J$57 * J42 * J101 / hours_in_year / $H53</f>
        <v>191.1063194165813</v>
      </c>
      <c r="K113" s="82">
        <f t="shared" si="18"/>
        <v>22.48541644263862</v>
      </c>
      <c r="L113" s="82">
        <f t="shared" si="18"/>
        <v>95.42765186743199</v>
      </c>
      <c r="M113" s="82">
        <f t="shared" si="18"/>
        <v>1.5717855437465869</v>
      </c>
      <c r="N113" s="82">
        <f t="shared" si="18"/>
        <v>106.37500864464722</v>
      </c>
      <c r="O113" s="82">
        <f t="shared" si="18"/>
        <v>0</v>
      </c>
      <c r="P113" s="82">
        <f t="shared" si="18"/>
        <v>0</v>
      </c>
      <c r="Q113" s="82">
        <f t="shared" si="18"/>
        <v>2.9677626137670923</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35">
      <c r="E114" s="32"/>
      <c r="J114" s="89"/>
      <c r="K114" s="89"/>
      <c r="L114" s="89"/>
      <c r="M114" s="89"/>
      <c r="N114" s="89"/>
      <c r="O114" s="89"/>
      <c r="P114" s="89"/>
      <c r="Q114" s="89"/>
      <c r="R114" s="89"/>
      <c r="S114" s="89"/>
      <c r="T114" s="89"/>
      <c r="U114" s="89"/>
      <c r="V114" s="89"/>
      <c r="W114" s="89"/>
      <c r="X114" s="89"/>
      <c r="Y114" s="89"/>
      <c r="AQ114" s="3"/>
    </row>
    <row r="115" spans="5:43" x14ac:dyDescent="0.35">
      <c r="E115" s="32" t="s">
        <v>513</v>
      </c>
      <c r="J115" s="89"/>
      <c r="K115" s="89"/>
      <c r="L115" s="89"/>
      <c r="M115" s="89"/>
      <c r="N115" s="89"/>
      <c r="O115" s="89"/>
      <c r="P115" s="89"/>
      <c r="Q115" s="89"/>
      <c r="R115" s="89"/>
      <c r="S115" s="89"/>
      <c r="T115" s="89"/>
      <c r="U115" s="89"/>
      <c r="V115" s="89"/>
      <c r="W115" s="89"/>
      <c r="X115" s="89"/>
      <c r="Y115" s="89"/>
      <c r="AQ115" s="3"/>
    </row>
    <row r="116" spans="5:43" x14ac:dyDescent="0.35">
      <c r="E116" s="32"/>
      <c r="F116" s="23" t="s">
        <v>191</v>
      </c>
      <c r="G116" s="23" t="s">
        <v>283</v>
      </c>
      <c r="H116" s="23"/>
      <c r="I116" s="23"/>
      <c r="J116" s="124">
        <f>'Pseudo-load coefficients'!J294</f>
        <v>0.47113235171517565</v>
      </c>
      <c r="K116" s="124">
        <f>'Pseudo-load coefficients'!K294</f>
        <v>0.47113235171517565</v>
      </c>
      <c r="L116" s="124">
        <f>'Pseudo-load coefficients'!L294</f>
        <v>0.54064082406152048</v>
      </c>
      <c r="M116" s="124">
        <f>'Pseudo-load coefficients'!M294</f>
        <v>0.54064082406152048</v>
      </c>
      <c r="N116" s="124">
        <f>'Pseudo-load coefficients'!N294</f>
        <v>0.4591762076598766</v>
      </c>
      <c r="O116" s="124">
        <f>'Pseudo-load coefficients'!O294</f>
        <v>0.39173799719769881</v>
      </c>
      <c r="P116" s="124">
        <f>'Pseudo-load coefficients'!P294</f>
        <v>0.41152132672555736</v>
      </c>
      <c r="Q116" s="124">
        <f>'Pseudo-load coefficients'!Q294</f>
        <v>0.28767351825463783</v>
      </c>
      <c r="R116" s="124">
        <f>'Pseudo-load coefficients'!R294</f>
        <v>0.36421431913897989</v>
      </c>
      <c r="S116" s="124">
        <f>'Pseudo-load coefficients'!S294</f>
        <v>0.36421431913897989</v>
      </c>
      <c r="T116" s="124">
        <f>'Pseudo-load coefficients'!T294</f>
        <v>0.36421431913897989</v>
      </c>
      <c r="U116" s="124">
        <f>'Pseudo-load coefficients'!U294</f>
        <v>0.36421431913897989</v>
      </c>
      <c r="V116" s="124">
        <f>'Pseudo-load coefficients'!V294</f>
        <v>0.36421431913897989</v>
      </c>
      <c r="W116" s="124">
        <f>'Pseudo-load coefficients'!W294</f>
        <v>0.36421431913897989</v>
      </c>
      <c r="X116" s="124">
        <f>'Pseudo-load coefficients'!X294</f>
        <v>0.36421431913897989</v>
      </c>
      <c r="Y116" s="124">
        <f>'Pseudo-load coefficients'!Y294</f>
        <v>0.36421431913897989</v>
      </c>
      <c r="AQ116" s="3"/>
    </row>
    <row r="117" spans="5:43" x14ac:dyDescent="0.35">
      <c r="E117" s="32"/>
      <c r="F117" t="s">
        <v>192</v>
      </c>
      <c r="G117" t="s">
        <v>283</v>
      </c>
      <c r="J117" s="120">
        <f>'Pseudo-load coefficients'!J295</f>
        <v>0</v>
      </c>
      <c r="K117" s="120">
        <f>'Pseudo-load coefficients'!K295</f>
        <v>0</v>
      </c>
      <c r="L117" s="120">
        <f>'Pseudo-load coefficients'!L295</f>
        <v>0</v>
      </c>
      <c r="M117" s="120">
        <f>'Pseudo-load coefficients'!M295</f>
        <v>0</v>
      </c>
      <c r="N117" s="120">
        <f>'Pseudo-load coefficients'!N295</f>
        <v>0</v>
      </c>
      <c r="O117" s="120">
        <f>'Pseudo-load coefficients'!O295</f>
        <v>0</v>
      </c>
      <c r="P117" s="120">
        <f>'Pseudo-load coefficients'!P295</f>
        <v>0</v>
      </c>
      <c r="Q117" s="120">
        <f>'Pseudo-load coefficients'!Q295</f>
        <v>0</v>
      </c>
      <c r="R117" s="120">
        <f>'Pseudo-load coefficients'!R295</f>
        <v>0</v>
      </c>
      <c r="S117" s="120">
        <f>'Pseudo-load coefficients'!S295</f>
        <v>0</v>
      </c>
      <c r="T117" s="120">
        <f>'Pseudo-load coefficients'!T295</f>
        <v>0</v>
      </c>
      <c r="U117" s="120">
        <f>'Pseudo-load coefficients'!U295</f>
        <v>0</v>
      </c>
      <c r="V117" s="120">
        <f>'Pseudo-load coefficients'!V295</f>
        <v>0</v>
      </c>
      <c r="W117" s="120">
        <f>'Pseudo-load coefficients'!W295</f>
        <v>0</v>
      </c>
      <c r="X117" s="120">
        <f>'Pseudo-load coefficients'!X295</f>
        <v>0</v>
      </c>
      <c r="Y117" s="120">
        <f>'Pseudo-load coefficients'!Y295</f>
        <v>0</v>
      </c>
      <c r="AQ117" s="3"/>
    </row>
    <row r="118" spans="5:43" x14ac:dyDescent="0.35">
      <c r="E118" s="32"/>
      <c r="F118" t="s">
        <v>193</v>
      </c>
      <c r="G118" t="s">
        <v>283</v>
      </c>
      <c r="J118" s="120">
        <f>'Pseudo-load coefficients'!J296</f>
        <v>0</v>
      </c>
      <c r="K118" s="120">
        <f>'Pseudo-load coefficients'!K296</f>
        <v>0</v>
      </c>
      <c r="L118" s="120">
        <f>'Pseudo-load coefficients'!L296</f>
        <v>0</v>
      </c>
      <c r="M118" s="120">
        <f>'Pseudo-load coefficients'!M296</f>
        <v>0</v>
      </c>
      <c r="N118" s="120">
        <f>'Pseudo-load coefficients'!N296</f>
        <v>0</v>
      </c>
      <c r="O118" s="120">
        <f>'Pseudo-load coefficients'!O296</f>
        <v>0</v>
      </c>
      <c r="P118" s="120">
        <f>'Pseudo-load coefficients'!P296</f>
        <v>0</v>
      </c>
      <c r="Q118" s="120">
        <f>'Pseudo-load coefficients'!Q296</f>
        <v>0</v>
      </c>
      <c r="R118" s="120">
        <f>'Pseudo-load coefficients'!R296</f>
        <v>0</v>
      </c>
      <c r="S118" s="120">
        <f>'Pseudo-load coefficients'!S296</f>
        <v>0</v>
      </c>
      <c r="T118" s="120">
        <f>'Pseudo-load coefficients'!T296</f>
        <v>0</v>
      </c>
      <c r="U118" s="120">
        <f>'Pseudo-load coefficients'!U296</f>
        <v>0</v>
      </c>
      <c r="V118" s="120">
        <f>'Pseudo-load coefficients'!V296</f>
        <v>0</v>
      </c>
      <c r="W118" s="120">
        <f>'Pseudo-load coefficients'!W296</f>
        <v>0</v>
      </c>
      <c r="X118" s="120">
        <f>'Pseudo-load coefficients'!X296</f>
        <v>0</v>
      </c>
      <c r="Y118" s="120">
        <f>'Pseudo-load coefficients'!Y296</f>
        <v>0</v>
      </c>
      <c r="AQ118" s="3"/>
    </row>
    <row r="119" spans="5:43" x14ac:dyDescent="0.35">
      <c r="E119" s="32"/>
      <c r="F119" t="s">
        <v>194</v>
      </c>
      <c r="G119" t="s">
        <v>283</v>
      </c>
      <c r="J119" s="120">
        <f>'Pseudo-load coefficients'!J297</f>
        <v>0.39769191197116682</v>
      </c>
      <c r="K119" s="120">
        <f>'Pseudo-load coefficients'!K297</f>
        <v>0.39769191197116682</v>
      </c>
      <c r="L119" s="120">
        <f>'Pseudo-load coefficients'!L297</f>
        <v>0.45636535514478366</v>
      </c>
      <c r="M119" s="120">
        <f>'Pseudo-load coefficients'!M297</f>
        <v>0.45636535514478366</v>
      </c>
      <c r="N119" s="120">
        <f>'Pseudo-load coefficients'!N297</f>
        <v>0.38759949999426835</v>
      </c>
      <c r="O119" s="120">
        <f>'Pseudo-load coefficients'!O297</f>
        <v>0.33067360483767483</v>
      </c>
      <c r="P119" s="120">
        <f>'Pseudo-load coefficients'!P297</f>
        <v>0.34737309515381881</v>
      </c>
      <c r="Q119" s="120">
        <f>'Pseudo-load coefficients'!Q297</f>
        <v>0.24283076948900209</v>
      </c>
      <c r="R119" s="120">
        <f>'Pseudo-load coefficients'!R297</f>
        <v>0.30744033692091716</v>
      </c>
      <c r="S119" s="120">
        <f>'Pseudo-load coefficients'!S297</f>
        <v>0.30744033692091716</v>
      </c>
      <c r="T119" s="120">
        <f>'Pseudo-load coefficients'!T297</f>
        <v>0.30744033692091716</v>
      </c>
      <c r="U119" s="120">
        <f>'Pseudo-load coefficients'!U297</f>
        <v>0.30744033692091716</v>
      </c>
      <c r="V119" s="120">
        <f>'Pseudo-load coefficients'!V297</f>
        <v>0.30744033692091716</v>
      </c>
      <c r="W119" s="120">
        <f>'Pseudo-load coefficients'!W297</f>
        <v>0.30744033692091716</v>
      </c>
      <c r="X119" s="120">
        <f>'Pseudo-load coefficients'!X297</f>
        <v>0.30744033692091716</v>
      </c>
      <c r="Y119" s="120">
        <f>'Pseudo-load coefficients'!Y297</f>
        <v>0.30744033692091716</v>
      </c>
      <c r="AQ119" s="3"/>
    </row>
    <row r="120" spans="5:43" x14ac:dyDescent="0.35">
      <c r="E120" s="32"/>
      <c r="F120" t="s">
        <v>195</v>
      </c>
      <c r="G120" t="s">
        <v>283</v>
      </c>
      <c r="J120" s="120">
        <f>'Pseudo-load coefficients'!J298</f>
        <v>0.39769191197116682</v>
      </c>
      <c r="K120" s="120">
        <f>'Pseudo-load coefficients'!K298</f>
        <v>0.39769191197116682</v>
      </c>
      <c r="L120" s="120">
        <f>'Pseudo-load coefficients'!L298</f>
        <v>0.45636535514478366</v>
      </c>
      <c r="M120" s="120">
        <f>'Pseudo-load coefficients'!M298</f>
        <v>0.45636535514478366</v>
      </c>
      <c r="N120" s="120">
        <f>'Pseudo-load coefficients'!N298</f>
        <v>0.38759949999426835</v>
      </c>
      <c r="O120" s="120">
        <f>'Pseudo-load coefficients'!O298</f>
        <v>0.33067360483767483</v>
      </c>
      <c r="P120" s="120">
        <f>'Pseudo-load coefficients'!P298</f>
        <v>0.34737309515381881</v>
      </c>
      <c r="Q120" s="120">
        <f>'Pseudo-load coefficients'!Q298</f>
        <v>0.24283076948900209</v>
      </c>
      <c r="R120" s="120">
        <f>'Pseudo-load coefficients'!R298</f>
        <v>0.30744033692091716</v>
      </c>
      <c r="S120" s="120">
        <f>'Pseudo-load coefficients'!S298</f>
        <v>0.30744033692091716</v>
      </c>
      <c r="T120" s="120">
        <f>'Pseudo-load coefficients'!T298</f>
        <v>0.30744033692091716</v>
      </c>
      <c r="U120" s="120">
        <f>'Pseudo-load coefficients'!U298</f>
        <v>0.30744033692091716</v>
      </c>
      <c r="V120" s="120">
        <f>'Pseudo-load coefficients'!V298</f>
        <v>0.30744033692091716</v>
      </c>
      <c r="W120" s="120">
        <f>'Pseudo-load coefficients'!W298</f>
        <v>0.30744033692091716</v>
      </c>
      <c r="X120" s="120">
        <f>'Pseudo-load coefficients'!X298</f>
        <v>0.30744033692091716</v>
      </c>
      <c r="Y120" s="120">
        <f>'Pseudo-load coefficients'!Y298</f>
        <v>0.30744033692091716</v>
      </c>
      <c r="AQ120" s="3"/>
    </row>
    <row r="121" spans="5:43" x14ac:dyDescent="0.35">
      <c r="E121" s="32"/>
      <c r="F121" t="s">
        <v>196</v>
      </c>
      <c r="G121" t="s">
        <v>283</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35">
      <c r="E122" s="32"/>
      <c r="F122" t="s">
        <v>197</v>
      </c>
      <c r="G122" t="s">
        <v>283</v>
      </c>
      <c r="J122" s="120">
        <f>'Pseudo-load coefficients'!J300</f>
        <v>0.45071750023398915</v>
      </c>
      <c r="K122" s="120">
        <f>'Pseudo-load coefficients'!K300</f>
        <v>0.45071750023398915</v>
      </c>
      <c r="L122" s="120">
        <f>'Pseudo-load coefficients'!L300</f>
        <v>0.5172140691640883</v>
      </c>
      <c r="M122" s="120">
        <f>'Pseudo-load coefficients'!M300</f>
        <v>0.5172140691640883</v>
      </c>
      <c r="N122" s="120">
        <f>'Pseudo-load coefficients'!N300</f>
        <v>0.4392794333268375</v>
      </c>
      <c r="O122" s="120">
        <f>'Pseudo-load coefficients'!O300</f>
        <v>0.37476341881603153</v>
      </c>
      <c r="P122" s="120">
        <f>'Pseudo-load coefficients'!P300</f>
        <v>0.39368950784099471</v>
      </c>
      <c r="Q122" s="120">
        <f>'Pseudo-load coefficients'!Q300</f>
        <v>0.2752082054208691</v>
      </c>
      <c r="R122" s="120">
        <f>'Pseudo-load coefficients'!R300</f>
        <v>0.34843238184370617</v>
      </c>
      <c r="S122" s="120">
        <f>'Pseudo-load coefficients'!S300</f>
        <v>0.34843238184370617</v>
      </c>
      <c r="T122" s="120">
        <f>'Pseudo-load coefficients'!T300</f>
        <v>0.34843238184370617</v>
      </c>
      <c r="U122" s="120">
        <f>'Pseudo-load coefficients'!U300</f>
        <v>0.34843238184370617</v>
      </c>
      <c r="V122" s="120">
        <f>'Pseudo-load coefficients'!V300</f>
        <v>0.34843238184370617</v>
      </c>
      <c r="W122" s="120">
        <f>'Pseudo-load coefficients'!W300</f>
        <v>0.34843238184370617</v>
      </c>
      <c r="X122" s="120">
        <f>'Pseudo-load coefficients'!X300</f>
        <v>0.34843238184370617</v>
      </c>
      <c r="Y122" s="120">
        <f>'Pseudo-load coefficients'!Y300</f>
        <v>0.34843238184370617</v>
      </c>
      <c r="AQ122" s="3"/>
    </row>
    <row r="123" spans="5:43" x14ac:dyDescent="0.35">
      <c r="E123" s="32"/>
      <c r="F123" t="s">
        <v>198</v>
      </c>
      <c r="G123" t="s">
        <v>283</v>
      </c>
      <c r="J123" s="120">
        <f>'Pseudo-load coefficients'!J301</f>
        <v>0.45071750023398915</v>
      </c>
      <c r="K123" s="120">
        <f>'Pseudo-load coefficients'!K301</f>
        <v>0.45071750023398915</v>
      </c>
      <c r="L123" s="120">
        <f>'Pseudo-load coefficients'!L301</f>
        <v>0.5172140691640883</v>
      </c>
      <c r="M123" s="120">
        <f>'Pseudo-load coefficients'!M301</f>
        <v>0.5172140691640883</v>
      </c>
      <c r="N123" s="120">
        <f>'Pseudo-load coefficients'!N301</f>
        <v>0.4392794333268375</v>
      </c>
      <c r="O123" s="120">
        <f>'Pseudo-load coefficients'!O301</f>
        <v>0.37476341881603153</v>
      </c>
      <c r="P123" s="120">
        <f>'Pseudo-load coefficients'!P301</f>
        <v>0.39368950784099471</v>
      </c>
      <c r="Q123" s="120">
        <f>'Pseudo-load coefficients'!Q301</f>
        <v>0.2752082054208691</v>
      </c>
      <c r="R123" s="120">
        <f>'Pseudo-load coefficients'!R301</f>
        <v>0.34843238184370617</v>
      </c>
      <c r="S123" s="120">
        <f>'Pseudo-load coefficients'!S301</f>
        <v>0.34843238184370617</v>
      </c>
      <c r="T123" s="120">
        <f>'Pseudo-load coefficients'!T301</f>
        <v>0.34843238184370617</v>
      </c>
      <c r="U123" s="120">
        <f>'Pseudo-load coefficients'!U301</f>
        <v>0.34843238184370617</v>
      </c>
      <c r="V123" s="120">
        <f>'Pseudo-load coefficients'!V301</f>
        <v>0.34843238184370617</v>
      </c>
      <c r="W123" s="120">
        <f>'Pseudo-load coefficients'!W301</f>
        <v>0.34843238184370617</v>
      </c>
      <c r="X123" s="120">
        <f>'Pseudo-load coefficients'!X301</f>
        <v>0.34843238184370617</v>
      </c>
      <c r="Y123" s="120">
        <f>'Pseudo-load coefficients'!Y301</f>
        <v>0.34843238184370617</v>
      </c>
      <c r="AQ123" s="3"/>
    </row>
    <row r="124" spans="5:43" x14ac:dyDescent="0.35">
      <c r="E124" s="32"/>
      <c r="F124" s="37" t="s">
        <v>199</v>
      </c>
      <c r="G124" s="37" t="s">
        <v>283</v>
      </c>
      <c r="H124" s="37"/>
      <c r="I124" s="37"/>
      <c r="J124" s="125">
        <f>'Pseudo-load coefficients'!J302</f>
        <v>0.45071750023398915</v>
      </c>
      <c r="K124" s="125">
        <f>'Pseudo-load coefficients'!K302</f>
        <v>0.45071750023398915</v>
      </c>
      <c r="L124" s="125">
        <f>'Pseudo-load coefficients'!L302</f>
        <v>0.5172140691640883</v>
      </c>
      <c r="M124" s="125">
        <f>'Pseudo-load coefficients'!M302</f>
        <v>0.5172140691640883</v>
      </c>
      <c r="N124" s="125">
        <f>'Pseudo-load coefficients'!N302</f>
        <v>0.4392794333268375</v>
      </c>
      <c r="O124" s="125">
        <f>'Pseudo-load coefficients'!O302</f>
        <v>0.37476341881603153</v>
      </c>
      <c r="P124" s="125">
        <f>'Pseudo-load coefficients'!P302</f>
        <v>0.39368950784099471</v>
      </c>
      <c r="Q124" s="125">
        <f>'Pseudo-load coefficients'!Q302</f>
        <v>0.2752082054208691</v>
      </c>
      <c r="R124" s="125">
        <f>'Pseudo-load coefficients'!R302</f>
        <v>0.34843238184370617</v>
      </c>
      <c r="S124" s="125">
        <f>'Pseudo-load coefficients'!S302</f>
        <v>0.34843238184370617</v>
      </c>
      <c r="T124" s="125">
        <f>'Pseudo-load coefficients'!T302</f>
        <v>0.34843238184370617</v>
      </c>
      <c r="U124" s="125">
        <f>'Pseudo-load coefficients'!U302</f>
        <v>0.34843238184370617</v>
      </c>
      <c r="V124" s="125">
        <f>'Pseudo-load coefficients'!V302</f>
        <v>0.34843238184370617</v>
      </c>
      <c r="W124" s="125">
        <f>'Pseudo-load coefficients'!W302</f>
        <v>0.34843238184370617</v>
      </c>
      <c r="X124" s="125">
        <f>'Pseudo-load coefficients'!X302</f>
        <v>0.34843238184370617</v>
      </c>
      <c r="Y124" s="125">
        <f>'Pseudo-load coefficients'!Y302</f>
        <v>0.34843238184370617</v>
      </c>
      <c r="AQ124" s="3"/>
    </row>
    <row r="125" spans="5:43" x14ac:dyDescent="0.35">
      <c r="E125" s="32"/>
      <c r="J125" s="89"/>
      <c r="K125" s="89"/>
      <c r="L125" s="89"/>
      <c r="M125" s="89"/>
      <c r="N125" s="89"/>
      <c r="O125" s="89"/>
      <c r="P125" s="89"/>
      <c r="Q125" s="89"/>
      <c r="R125" s="89"/>
      <c r="S125" s="89"/>
      <c r="T125" s="89"/>
      <c r="U125" s="89"/>
      <c r="V125" s="89"/>
      <c r="W125" s="89"/>
      <c r="X125" s="89"/>
      <c r="Y125" s="89"/>
      <c r="AQ125" s="3"/>
    </row>
    <row r="126" spans="5:43" x14ac:dyDescent="0.35">
      <c r="E126" s="32" t="s">
        <v>514</v>
      </c>
      <c r="J126" s="89"/>
      <c r="K126" s="89"/>
      <c r="L126" s="89"/>
      <c r="M126" s="89"/>
      <c r="N126" s="89"/>
      <c r="O126" s="89"/>
      <c r="P126" s="89"/>
      <c r="Q126" s="89"/>
      <c r="R126" s="89"/>
      <c r="S126" s="89"/>
      <c r="T126" s="89"/>
      <c r="U126" s="89"/>
      <c r="V126" s="89"/>
      <c r="W126" s="89"/>
      <c r="X126" s="89"/>
      <c r="Y126" s="89"/>
      <c r="AQ126" s="3"/>
    </row>
    <row r="127" spans="5:43" x14ac:dyDescent="0.35">
      <c r="E127" s="29" t="s">
        <v>515</v>
      </c>
      <c r="J127" s="89"/>
      <c r="K127" s="89"/>
      <c r="L127" s="89"/>
      <c r="M127" s="89"/>
      <c r="N127" s="89"/>
      <c r="O127" s="89"/>
      <c r="P127" s="89"/>
      <c r="Q127" s="89"/>
      <c r="R127" s="89"/>
      <c r="S127" s="89"/>
      <c r="T127" s="89"/>
      <c r="U127" s="89"/>
      <c r="V127" s="89"/>
      <c r="W127" s="89"/>
      <c r="X127" s="89"/>
      <c r="Y127" s="89"/>
      <c r="AQ127" s="3"/>
    </row>
    <row r="128" spans="5:43" x14ac:dyDescent="0.35">
      <c r="E128" s="32"/>
      <c r="F128" s="23" t="s">
        <v>191</v>
      </c>
      <c r="G128" s="23" t="s">
        <v>172</v>
      </c>
      <c r="H128" s="23"/>
      <c r="I128" s="23"/>
      <c r="J128" s="158">
        <f t="shared" ref="J128:Y128" si="19">J$58 * J34 * J116 / hours_in_year / $H45</f>
        <v>60.206668128156089</v>
      </c>
      <c r="K128" s="158">
        <f t="shared" si="19"/>
        <v>12.491389670619746</v>
      </c>
      <c r="L128" s="158">
        <f t="shared" si="19"/>
        <v>24.594759617247266</v>
      </c>
      <c r="M128" s="158">
        <f t="shared" si="19"/>
        <v>0.96928895163651596</v>
      </c>
      <c r="N128" s="158">
        <f t="shared" si="19"/>
        <v>32.660398213315609</v>
      </c>
      <c r="O128" s="158">
        <f t="shared" si="19"/>
        <v>2.4703990952686539</v>
      </c>
      <c r="P128" s="158">
        <f t="shared" si="19"/>
        <v>16.53724054221065</v>
      </c>
      <c r="Q128" s="158">
        <f t="shared" si="19"/>
        <v>2.1996090683913732</v>
      </c>
      <c r="R128" s="158">
        <f t="shared" si="19"/>
        <v>-9.6520465469999969E-2</v>
      </c>
      <c r="S128" s="158">
        <f t="shared" si="19"/>
        <v>-2.8408883200748721E-5</v>
      </c>
      <c r="T128" s="158">
        <f t="shared" si="19"/>
        <v>-8.8239397917558726</v>
      </c>
      <c r="U128" s="158">
        <f t="shared" si="19"/>
        <v>0</v>
      </c>
      <c r="V128" s="158">
        <f t="shared" si="19"/>
        <v>-6.9294587029053695E-2</v>
      </c>
      <c r="W128" s="158">
        <f t="shared" si="19"/>
        <v>0</v>
      </c>
      <c r="X128" s="158">
        <f t="shared" si="19"/>
        <v>-32.202435762183796</v>
      </c>
      <c r="Y128" s="158">
        <f t="shared" si="19"/>
        <v>0</v>
      </c>
      <c r="AQ128" s="3"/>
    </row>
    <row r="129" spans="3:43" x14ac:dyDescent="0.35">
      <c r="E129" s="32"/>
      <c r="F129" t="s">
        <v>192</v>
      </c>
      <c r="G129" t="s">
        <v>172</v>
      </c>
      <c r="J129" s="89">
        <f t="shared" ref="J129:Y129" si="20">J$58 * J35 * J117 / hours_in_year / $H46</f>
        <v>0</v>
      </c>
      <c r="K129" s="89">
        <f t="shared" si="20"/>
        <v>0</v>
      </c>
      <c r="L129" s="89">
        <f t="shared" si="20"/>
        <v>0</v>
      </c>
      <c r="M129" s="89">
        <f t="shared" si="20"/>
        <v>0</v>
      </c>
      <c r="N129" s="89">
        <f t="shared" si="20"/>
        <v>0</v>
      </c>
      <c r="O129" s="89">
        <f t="shared" si="20"/>
        <v>0</v>
      </c>
      <c r="P129" s="89">
        <f t="shared" si="20"/>
        <v>0</v>
      </c>
      <c r="Q129" s="89">
        <f t="shared" si="20"/>
        <v>0</v>
      </c>
      <c r="R129" s="89">
        <f t="shared" si="20"/>
        <v>0</v>
      </c>
      <c r="S129" s="89">
        <f t="shared" si="20"/>
        <v>0</v>
      </c>
      <c r="T129" s="89">
        <f t="shared" si="20"/>
        <v>0</v>
      </c>
      <c r="U129" s="89">
        <f t="shared" si="20"/>
        <v>0</v>
      </c>
      <c r="V129" s="89">
        <f t="shared" si="20"/>
        <v>0</v>
      </c>
      <c r="W129" s="89">
        <f t="shared" si="20"/>
        <v>0</v>
      </c>
      <c r="X129" s="89">
        <f t="shared" si="20"/>
        <v>0</v>
      </c>
      <c r="Y129" s="89">
        <f t="shared" si="20"/>
        <v>0</v>
      </c>
      <c r="AQ129" s="3"/>
    </row>
    <row r="130" spans="3:43" x14ac:dyDescent="0.35">
      <c r="E130" s="32"/>
      <c r="F130" t="s">
        <v>193</v>
      </c>
      <c r="G130" t="s">
        <v>172</v>
      </c>
      <c r="J130" s="89">
        <f t="shared" ref="J130:Y130" si="21">J$58 * J36 * J118 / hours_in_year / $H47</f>
        <v>0</v>
      </c>
      <c r="K130" s="89">
        <f t="shared" si="21"/>
        <v>0</v>
      </c>
      <c r="L130" s="89">
        <f t="shared" si="21"/>
        <v>0</v>
      </c>
      <c r="M130" s="89">
        <f t="shared" si="21"/>
        <v>0</v>
      </c>
      <c r="N130" s="89">
        <f t="shared" si="21"/>
        <v>0</v>
      </c>
      <c r="O130" s="89">
        <f t="shared" si="21"/>
        <v>0</v>
      </c>
      <c r="P130" s="89">
        <f t="shared" si="21"/>
        <v>0</v>
      </c>
      <c r="Q130" s="89">
        <f t="shared" si="21"/>
        <v>0</v>
      </c>
      <c r="R130" s="89">
        <f t="shared" si="21"/>
        <v>0</v>
      </c>
      <c r="S130" s="89">
        <f t="shared" si="21"/>
        <v>0</v>
      </c>
      <c r="T130" s="89">
        <f t="shared" si="21"/>
        <v>0</v>
      </c>
      <c r="U130" s="89">
        <f t="shared" si="21"/>
        <v>0</v>
      </c>
      <c r="V130" s="89">
        <f t="shared" si="21"/>
        <v>0</v>
      </c>
      <c r="W130" s="89">
        <f t="shared" si="21"/>
        <v>0</v>
      </c>
      <c r="X130" s="89">
        <f t="shared" si="21"/>
        <v>0</v>
      </c>
      <c r="Y130" s="89">
        <f t="shared" si="21"/>
        <v>0</v>
      </c>
      <c r="AQ130" s="3"/>
    </row>
    <row r="131" spans="3:43" x14ac:dyDescent="0.35">
      <c r="E131" s="32"/>
      <c r="F131" t="s">
        <v>194</v>
      </c>
      <c r="G131" t="s">
        <v>172</v>
      </c>
      <c r="J131" s="89">
        <f t="shared" ref="J131:Y131" si="22">J$58 * J37 * J119 / hours_in_year / $H48</f>
        <v>50.070552401780908</v>
      </c>
      <c r="K131" s="89">
        <f t="shared" si="22"/>
        <v>10.388397174586947</v>
      </c>
      <c r="L131" s="89">
        <f t="shared" si="22"/>
        <v>20.45409982833241</v>
      </c>
      <c r="M131" s="89">
        <f t="shared" si="22"/>
        <v>0.80610395416793879</v>
      </c>
      <c r="N131" s="89">
        <f t="shared" si="22"/>
        <v>27.161844876084068</v>
      </c>
      <c r="O131" s="89">
        <f t="shared" si="22"/>
        <v>2.0544941482173589</v>
      </c>
      <c r="P131" s="89">
        <f t="shared" si="22"/>
        <v>13.753107336666922</v>
      </c>
      <c r="Q131" s="89">
        <f t="shared" si="22"/>
        <v>1.8292930757750567</v>
      </c>
      <c r="R131" s="89">
        <f t="shared" si="22"/>
        <v>-8.0270727054231522E-2</v>
      </c>
      <c r="S131" s="89">
        <f t="shared" si="22"/>
        <v>-2.3626095235021706E-5</v>
      </c>
      <c r="T131" s="89">
        <f t="shared" si="22"/>
        <v>-7.3383821671183282</v>
      </c>
      <c r="U131" s="89">
        <f t="shared" si="22"/>
        <v>0</v>
      </c>
      <c r="V131" s="89">
        <f t="shared" si="22"/>
        <v>-5.7628471378162967E-2</v>
      </c>
      <c r="W131" s="89">
        <f t="shared" si="22"/>
        <v>0</v>
      </c>
      <c r="X131" s="89">
        <f t="shared" si="22"/>
        <v>-26.780982861620263</v>
      </c>
      <c r="Y131" s="89">
        <f t="shared" si="22"/>
        <v>0</v>
      </c>
      <c r="AQ131" s="3"/>
    </row>
    <row r="132" spans="3:43" x14ac:dyDescent="0.35">
      <c r="E132" s="32"/>
      <c r="F132" t="s">
        <v>195</v>
      </c>
      <c r="G132" t="s">
        <v>172</v>
      </c>
      <c r="J132" s="89">
        <f t="shared" ref="J132:Y132" si="23">J$58 * J38 * J120 / hours_in_year / $H49</f>
        <v>49.437364482303131</v>
      </c>
      <c r="K132" s="89">
        <f t="shared" si="23"/>
        <v>10.257026393196256</v>
      </c>
      <c r="L132" s="89">
        <f t="shared" si="23"/>
        <v>20.195439032837932</v>
      </c>
      <c r="M132" s="89">
        <f t="shared" si="23"/>
        <v>0.79591003256853876</v>
      </c>
      <c r="N132" s="89">
        <f t="shared" si="23"/>
        <v>26.818358510919577</v>
      </c>
      <c r="O132" s="89">
        <f t="shared" si="23"/>
        <v>2.0285131910900964</v>
      </c>
      <c r="P132" s="89">
        <f t="shared" si="23"/>
        <v>13.57918671859623</v>
      </c>
      <c r="Q132" s="89">
        <f t="shared" si="23"/>
        <v>1.8061599921319869</v>
      </c>
      <c r="R132" s="89">
        <f t="shared" si="23"/>
        <v>-7.9255630311327804E-2</v>
      </c>
      <c r="S132" s="89">
        <f t="shared" si="23"/>
        <v>-2.3327321657146917E-5</v>
      </c>
      <c r="T132" s="89">
        <f t="shared" si="23"/>
        <v>-7.2455816144213063</v>
      </c>
      <c r="U132" s="89">
        <f t="shared" si="23"/>
        <v>0</v>
      </c>
      <c r="V132" s="89">
        <f t="shared" si="23"/>
        <v>-5.6899706662291251E-2</v>
      </c>
      <c r="W132" s="89">
        <f t="shared" si="23"/>
        <v>0</v>
      </c>
      <c r="X132" s="89">
        <f t="shared" si="23"/>
        <v>-26.442312844887709</v>
      </c>
      <c r="Y132" s="89">
        <f t="shared" si="23"/>
        <v>0</v>
      </c>
      <c r="AQ132" s="3"/>
    </row>
    <row r="133" spans="3:43" x14ac:dyDescent="0.35">
      <c r="E133" s="32"/>
      <c r="F133" t="s">
        <v>196</v>
      </c>
      <c r="G133" t="s">
        <v>172</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35">
      <c r="E134" s="32"/>
      <c r="F134" t="s">
        <v>197</v>
      </c>
      <c r="G134" t="s">
        <v>172</v>
      </c>
      <c r="J134" s="89">
        <f t="shared" ref="J134:Y134" si="25">J$58 * J40 * J122 / hours_in_year / $H51</f>
        <v>55.542743921101234</v>
      </c>
      <c r="K134" s="89">
        <f t="shared" si="25"/>
        <v>11.52374112809372</v>
      </c>
      <c r="L134" s="89">
        <f t="shared" si="25"/>
        <v>22.689520574598255</v>
      </c>
      <c r="M134" s="89">
        <f t="shared" si="25"/>
        <v>0.89420274697317836</v>
      </c>
      <c r="N134" s="89">
        <f t="shared" si="25"/>
        <v>30.130352512814571</v>
      </c>
      <c r="O134" s="89">
        <f t="shared" si="25"/>
        <v>2.279029027803956</v>
      </c>
      <c r="P134" s="89">
        <f t="shared" si="25"/>
        <v>15.256179176739813</v>
      </c>
      <c r="Q134" s="89">
        <f t="shared" si="25"/>
        <v>2.0292158162969214</v>
      </c>
      <c r="R134" s="89">
        <f t="shared" si="25"/>
        <v>-8.9043484109338794E-2</v>
      </c>
      <c r="S134" s="89">
        <f t="shared" si="25"/>
        <v>-2.6208182145953045E-5</v>
      </c>
      <c r="T134" s="89">
        <f t="shared" si="25"/>
        <v>-8.1403911471312629</v>
      </c>
      <c r="U134" s="89">
        <f t="shared" si="25"/>
        <v>0</v>
      </c>
      <c r="V134" s="89">
        <f t="shared" si="25"/>
        <v>-6.3926664971404826E-2</v>
      </c>
      <c r="W134" s="89">
        <f t="shared" si="25"/>
        <v>0</v>
      </c>
      <c r="X134" s="89">
        <f t="shared" si="25"/>
        <v>0</v>
      </c>
      <c r="Y134" s="89">
        <f t="shared" si="25"/>
        <v>0</v>
      </c>
      <c r="AQ134" s="3"/>
    </row>
    <row r="135" spans="3:43" x14ac:dyDescent="0.35">
      <c r="E135" s="32"/>
      <c r="F135" t="s">
        <v>198</v>
      </c>
      <c r="G135" t="s">
        <v>172</v>
      </c>
      <c r="J135" s="89">
        <f t="shared" ref="J135:Y135" si="26">J$58 * J41 * J123 / hours_in_year / $H52</f>
        <v>54.28635763070875</v>
      </c>
      <c r="K135" s="89">
        <f t="shared" si="26"/>
        <v>11.263072148758894</v>
      </c>
      <c r="L135" s="89">
        <f t="shared" si="26"/>
        <v>22.176279769894805</v>
      </c>
      <c r="M135" s="89">
        <f t="shared" si="26"/>
        <v>0.87397572913401123</v>
      </c>
      <c r="N135" s="89">
        <f t="shared" si="26"/>
        <v>29.448798827322065</v>
      </c>
      <c r="O135" s="89">
        <f t="shared" si="26"/>
        <v>2.2274770045548564</v>
      </c>
      <c r="P135" s="89">
        <f t="shared" si="26"/>
        <v>0</v>
      </c>
      <c r="Q135" s="89">
        <f t="shared" si="26"/>
        <v>1.98331461027324</v>
      </c>
      <c r="R135" s="89">
        <f t="shared" si="26"/>
        <v>-8.7029305392445175E-2</v>
      </c>
      <c r="S135" s="89">
        <f t="shared" si="26"/>
        <v>0</v>
      </c>
      <c r="T135" s="89">
        <f t="shared" si="26"/>
        <v>-7.9562541183554369</v>
      </c>
      <c r="U135" s="89">
        <f t="shared" si="26"/>
        <v>0</v>
      </c>
      <c r="V135" s="89">
        <f t="shared" si="26"/>
        <v>0</v>
      </c>
      <c r="W135" s="89">
        <f t="shared" si="26"/>
        <v>0</v>
      </c>
      <c r="X135" s="89">
        <f t="shared" si="26"/>
        <v>0</v>
      </c>
      <c r="Y135" s="89">
        <f t="shared" si="26"/>
        <v>0</v>
      </c>
      <c r="AQ135" s="3"/>
    </row>
    <row r="136" spans="3:43" x14ac:dyDescent="0.35">
      <c r="E136" s="32"/>
      <c r="F136" s="37" t="s">
        <v>199</v>
      </c>
      <c r="G136" s="37" t="s">
        <v>172</v>
      </c>
      <c r="H136" s="37"/>
      <c r="I136" s="37"/>
      <c r="J136" s="82">
        <f t="shared" ref="J136:Y136" si="27">J$58 * J42 * J124 / hours_in_year / $H53</f>
        <v>52.409304318636927</v>
      </c>
      <c r="K136" s="82">
        <f t="shared" si="27"/>
        <v>10.873630163633473</v>
      </c>
      <c r="L136" s="82">
        <f t="shared" si="27"/>
        <v>21.409493026258769</v>
      </c>
      <c r="M136" s="82">
        <f t="shared" si="27"/>
        <v>0.84375636816304445</v>
      </c>
      <c r="N136" s="82">
        <f t="shared" si="27"/>
        <v>28.430551006177168</v>
      </c>
      <c r="O136" s="82">
        <f t="shared" si="27"/>
        <v>0</v>
      </c>
      <c r="P136" s="82">
        <f t="shared" si="27"/>
        <v>0</v>
      </c>
      <c r="Q136" s="82">
        <f t="shared" si="27"/>
        <v>1.914737762966249</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35">
      <c r="D137" s="32"/>
      <c r="J137" s="89"/>
      <c r="K137" s="89"/>
      <c r="L137" s="89"/>
      <c r="M137" s="89"/>
      <c r="N137" s="89"/>
      <c r="O137" s="89"/>
      <c r="P137" s="89"/>
      <c r="Q137" s="89"/>
      <c r="R137" s="89"/>
      <c r="S137" s="89"/>
      <c r="T137" s="89"/>
      <c r="U137" s="89"/>
      <c r="V137" s="89"/>
      <c r="W137" s="89"/>
      <c r="X137" s="89"/>
      <c r="Y137" s="89"/>
      <c r="AQ137" s="3"/>
    </row>
    <row r="138" spans="3:43" x14ac:dyDescent="0.3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35">
      <c r="H139" s="63"/>
      <c r="J139" s="89"/>
      <c r="K139" s="89"/>
      <c r="L139" s="89"/>
      <c r="M139" s="89"/>
      <c r="N139" s="89"/>
      <c r="O139" s="89"/>
      <c r="P139" s="89"/>
      <c r="Q139" s="89"/>
      <c r="R139" s="89"/>
      <c r="S139" s="89"/>
      <c r="T139" s="89"/>
      <c r="U139" s="89"/>
      <c r="V139" s="89"/>
      <c r="W139" s="89"/>
      <c r="X139" s="89"/>
      <c r="Y139" s="89"/>
    </row>
    <row r="140" spans="3:43" x14ac:dyDescent="0.35">
      <c r="E140" s="32" t="s">
        <v>516</v>
      </c>
      <c r="J140" s="89"/>
      <c r="K140" s="89"/>
      <c r="L140" s="89"/>
      <c r="M140" s="89"/>
      <c r="N140" s="89"/>
      <c r="O140" s="89"/>
      <c r="P140" s="89"/>
      <c r="Q140" s="89"/>
      <c r="R140" s="89"/>
      <c r="S140" s="89"/>
      <c r="T140" s="89"/>
      <c r="U140" s="89"/>
      <c r="V140" s="89"/>
      <c r="W140" s="89"/>
      <c r="X140" s="89"/>
      <c r="Y140" s="89"/>
      <c r="AQ140" s="3"/>
    </row>
    <row r="141" spans="3:43" x14ac:dyDescent="0.35">
      <c r="E141" s="29" t="s">
        <v>517</v>
      </c>
      <c r="J141" s="89"/>
      <c r="K141" s="89"/>
      <c r="L141" s="89"/>
      <c r="M141" s="89"/>
      <c r="N141" s="89"/>
      <c r="O141" s="89"/>
      <c r="P141" s="89"/>
      <c r="Q141" s="89"/>
      <c r="R141" s="89"/>
      <c r="S141" s="89"/>
      <c r="T141" s="89"/>
      <c r="U141" s="89"/>
      <c r="V141" s="89"/>
      <c r="W141" s="89"/>
      <c r="X141" s="89"/>
      <c r="Y141" s="89"/>
      <c r="AQ141" s="3"/>
    </row>
    <row r="142" spans="3:43" x14ac:dyDescent="0.35">
      <c r="C142" s="32"/>
      <c r="F142" s="23" t="s">
        <v>191</v>
      </c>
      <c r="G142" s="23" t="s">
        <v>172</v>
      </c>
      <c r="H142" s="23"/>
      <c r="I142" s="23"/>
      <c r="J142" s="158">
        <f t="shared" ref="J142:Y142" si="28">J82 + J105 + J128</f>
        <v>504.93445095817833</v>
      </c>
      <c r="K142" s="158">
        <f t="shared" si="28"/>
        <v>40.451408064689311</v>
      </c>
      <c r="L142" s="158">
        <f t="shared" si="28"/>
        <v>210.47414011454148</v>
      </c>
      <c r="M142" s="158">
        <f t="shared" si="28"/>
        <v>2.8096415175415714</v>
      </c>
      <c r="N142" s="158">
        <f t="shared" si="28"/>
        <v>244.25212749059119</v>
      </c>
      <c r="O142" s="158">
        <f t="shared" si="28"/>
        <v>16.00316667222879</v>
      </c>
      <c r="P142" s="158">
        <f t="shared" si="28"/>
        <v>109.46224583757555</v>
      </c>
      <c r="Q142" s="158">
        <f t="shared" si="28"/>
        <v>12.367074508544608</v>
      </c>
      <c r="R142" s="158">
        <f t="shared" si="28"/>
        <v>-0.89270165696750936</v>
      </c>
      <c r="S142" s="158">
        <f t="shared" si="28"/>
        <v>-2.9611396208011509E-4</v>
      </c>
      <c r="T142" s="158">
        <f t="shared" si="28"/>
        <v>-51.793991316819969</v>
      </c>
      <c r="U142" s="158">
        <f t="shared" si="28"/>
        <v>0</v>
      </c>
      <c r="V142" s="158">
        <f t="shared" si="28"/>
        <v>-0.42594340632000494</v>
      </c>
      <c r="W142" s="158">
        <f t="shared" si="28"/>
        <v>0</v>
      </c>
      <c r="X142" s="158">
        <f t="shared" si="28"/>
        <v>-206.0736119265361</v>
      </c>
      <c r="Y142" s="158">
        <f t="shared" si="28"/>
        <v>0</v>
      </c>
      <c r="AQ142" s="3"/>
    </row>
    <row r="143" spans="3:43" x14ac:dyDescent="0.35">
      <c r="C143" s="32"/>
      <c r="F143" t="s">
        <v>192</v>
      </c>
      <c r="G143" t="s">
        <v>172</v>
      </c>
      <c r="J143" s="89">
        <f t="shared" ref="J143:Y143" si="29">J83 + J106 + J129</f>
        <v>0</v>
      </c>
      <c r="K143" s="89">
        <f t="shared" si="29"/>
        <v>0</v>
      </c>
      <c r="L143" s="89">
        <f t="shared" si="29"/>
        <v>0</v>
      </c>
      <c r="M143" s="89">
        <f t="shared" si="29"/>
        <v>0</v>
      </c>
      <c r="N143" s="89">
        <f t="shared" si="29"/>
        <v>0</v>
      </c>
      <c r="O143" s="89">
        <f t="shared" si="29"/>
        <v>0</v>
      </c>
      <c r="P143" s="89">
        <f t="shared" si="29"/>
        <v>0</v>
      </c>
      <c r="Q143" s="89">
        <f t="shared" si="29"/>
        <v>0</v>
      </c>
      <c r="R143" s="89">
        <f t="shared" si="29"/>
        <v>0</v>
      </c>
      <c r="S143" s="89">
        <f t="shared" si="29"/>
        <v>0</v>
      </c>
      <c r="T143" s="89">
        <f t="shared" si="29"/>
        <v>0</v>
      </c>
      <c r="U143" s="89">
        <f t="shared" si="29"/>
        <v>0</v>
      </c>
      <c r="V143" s="89">
        <f t="shared" si="29"/>
        <v>0</v>
      </c>
      <c r="W143" s="89">
        <f t="shared" si="29"/>
        <v>0</v>
      </c>
      <c r="X143" s="89">
        <f t="shared" si="29"/>
        <v>0</v>
      </c>
      <c r="Y143" s="89">
        <f t="shared" si="29"/>
        <v>0</v>
      </c>
      <c r="AQ143" s="3"/>
    </row>
    <row r="144" spans="3:43" x14ac:dyDescent="0.35">
      <c r="C144" s="32"/>
      <c r="F144" t="s">
        <v>193</v>
      </c>
      <c r="G144" t="s">
        <v>172</v>
      </c>
      <c r="J144" s="89">
        <f t="shared" ref="J144:Y144" si="30">J84 + J107 + J130</f>
        <v>0</v>
      </c>
      <c r="K144" s="89">
        <f t="shared" si="30"/>
        <v>0</v>
      </c>
      <c r="L144" s="89">
        <f t="shared" si="30"/>
        <v>0</v>
      </c>
      <c r="M144" s="89">
        <f t="shared" si="30"/>
        <v>0</v>
      </c>
      <c r="N144" s="89">
        <f t="shared" si="30"/>
        <v>0</v>
      </c>
      <c r="O144" s="89">
        <f t="shared" si="30"/>
        <v>0</v>
      </c>
      <c r="P144" s="89">
        <f t="shared" si="30"/>
        <v>0</v>
      </c>
      <c r="Q144" s="89">
        <f t="shared" si="30"/>
        <v>0</v>
      </c>
      <c r="R144" s="89">
        <f t="shared" si="30"/>
        <v>0</v>
      </c>
      <c r="S144" s="89">
        <f t="shared" si="30"/>
        <v>0</v>
      </c>
      <c r="T144" s="89">
        <f t="shared" si="30"/>
        <v>0</v>
      </c>
      <c r="U144" s="89">
        <f t="shared" si="30"/>
        <v>0</v>
      </c>
      <c r="V144" s="89">
        <f t="shared" si="30"/>
        <v>0</v>
      </c>
      <c r="W144" s="89">
        <f t="shared" si="30"/>
        <v>0</v>
      </c>
      <c r="X144" s="89">
        <f t="shared" si="30"/>
        <v>0</v>
      </c>
      <c r="Y144" s="89">
        <f t="shared" si="30"/>
        <v>0</v>
      </c>
      <c r="AQ144" s="3"/>
    </row>
    <row r="145" spans="3:43" x14ac:dyDescent="0.35">
      <c r="C145" s="32"/>
      <c r="F145" t="s">
        <v>194</v>
      </c>
      <c r="G145" t="s">
        <v>172</v>
      </c>
      <c r="J145" s="89">
        <f t="shared" ref="J145:Y145" si="31">J85 + J108 + J131</f>
        <v>498.26228103194171</v>
      </c>
      <c r="K145" s="89">
        <f t="shared" si="31"/>
        <v>40.470058573148044</v>
      </c>
      <c r="L145" s="89">
        <f t="shared" si="31"/>
        <v>210.60918116934965</v>
      </c>
      <c r="M145" s="89">
        <f t="shared" si="31"/>
        <v>2.8027925375930596</v>
      </c>
      <c r="N145" s="89">
        <f t="shared" si="31"/>
        <v>243.21106645095668</v>
      </c>
      <c r="O145" s="89">
        <f t="shared" si="31"/>
        <v>15.831635238645848</v>
      </c>
      <c r="P145" s="89">
        <f t="shared" si="31"/>
        <v>108.56746734405897</v>
      </c>
      <c r="Q145" s="89">
        <f t="shared" si="31"/>
        <v>11.500391323228985</v>
      </c>
      <c r="R145" s="89">
        <f t="shared" si="31"/>
        <v>-0.89611339140007384</v>
      </c>
      <c r="S145" s="89">
        <f t="shared" si="31"/>
        <v>-3.0151325493346534E-4</v>
      </c>
      <c r="T145" s="89">
        <f t="shared" si="31"/>
        <v>-51.114669665865357</v>
      </c>
      <c r="U145" s="89">
        <f t="shared" si="31"/>
        <v>0</v>
      </c>
      <c r="V145" s="89">
        <f t="shared" si="31"/>
        <v>-0.42022527406683602</v>
      </c>
      <c r="W145" s="89">
        <f t="shared" si="31"/>
        <v>0</v>
      </c>
      <c r="X145" s="89">
        <f t="shared" si="31"/>
        <v>-202.94558443112192</v>
      </c>
      <c r="Y145" s="89">
        <f t="shared" si="31"/>
        <v>0</v>
      </c>
      <c r="AQ145" s="3"/>
    </row>
    <row r="146" spans="3:43" x14ac:dyDescent="0.35">
      <c r="C146" s="32"/>
      <c r="F146" t="s">
        <v>195</v>
      </c>
      <c r="G146" t="s">
        <v>172</v>
      </c>
      <c r="J146" s="89">
        <f t="shared" ref="J146:Y146" si="32">J86 + J109 + J132</f>
        <v>491.96129887881398</v>
      </c>
      <c r="K146" s="89">
        <f t="shared" si="32"/>
        <v>39.958277676794999</v>
      </c>
      <c r="L146" s="89">
        <f t="shared" si="32"/>
        <v>207.94583549308351</v>
      </c>
      <c r="M146" s="89">
        <f t="shared" si="32"/>
        <v>2.7673486630904236</v>
      </c>
      <c r="N146" s="89">
        <f t="shared" si="32"/>
        <v>240.13544012424222</v>
      </c>
      <c r="O146" s="89">
        <f t="shared" si="32"/>
        <v>15.631429734655187</v>
      </c>
      <c r="P146" s="89">
        <f t="shared" si="32"/>
        <v>107.19453244573916</v>
      </c>
      <c r="Q146" s="89">
        <f t="shared" si="32"/>
        <v>11.354958359024725</v>
      </c>
      <c r="R146" s="89">
        <f t="shared" si="32"/>
        <v>-0.8847812181625242</v>
      </c>
      <c r="S146" s="89">
        <f t="shared" si="32"/>
        <v>-2.9770034412204989E-4</v>
      </c>
      <c r="T146" s="89">
        <f t="shared" si="32"/>
        <v>-50.468277928845659</v>
      </c>
      <c r="U146" s="89">
        <f t="shared" si="32"/>
        <v>0</v>
      </c>
      <c r="V146" s="89">
        <f t="shared" si="32"/>
        <v>-0.41491114122357831</v>
      </c>
      <c r="W146" s="89">
        <f t="shared" si="32"/>
        <v>0</v>
      </c>
      <c r="X146" s="89">
        <f t="shared" si="32"/>
        <v>-200.37915194317969</v>
      </c>
      <c r="Y146" s="89">
        <f t="shared" si="32"/>
        <v>0</v>
      </c>
      <c r="AQ146" s="3"/>
    </row>
    <row r="147" spans="3:43" x14ac:dyDescent="0.35">
      <c r="C147" s="32"/>
      <c r="F147" t="s">
        <v>196</v>
      </c>
      <c r="G147" t="s">
        <v>172</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35">
      <c r="C148" s="32"/>
      <c r="F148" t="s">
        <v>197</v>
      </c>
      <c r="G148" t="s">
        <v>172</v>
      </c>
      <c r="J148" s="89">
        <f t="shared" ref="J148:Y148" si="34">J88 + J111 + J134</f>
        <v>479.63051060462669</v>
      </c>
      <c r="K148" s="89">
        <f t="shared" si="34"/>
        <v>41.769423212397406</v>
      </c>
      <c r="L148" s="89">
        <f t="shared" si="34"/>
        <v>205.26460545244493</v>
      </c>
      <c r="M148" s="89">
        <f t="shared" si="34"/>
        <v>2.9164078037930974</v>
      </c>
      <c r="N148" s="89">
        <f>N88 + N111 + N134</f>
        <v>237.1896833625301</v>
      </c>
      <c r="O148" s="89">
        <f t="shared" si="34"/>
        <v>15.445289074870258</v>
      </c>
      <c r="P148" s="89">
        <f t="shared" si="34"/>
        <v>106.06223491684895</v>
      </c>
      <c r="Q148" s="89">
        <f t="shared" si="34"/>
        <v>10.806458672807931</v>
      </c>
      <c r="R148" s="89">
        <f t="shared" si="34"/>
        <v>-0.87360703802322903</v>
      </c>
      <c r="S148" s="89">
        <f t="shared" si="34"/>
        <v>-2.9672837230652747E-4</v>
      </c>
      <c r="T148" s="89">
        <f t="shared" si="34"/>
        <v>-50.003689083616429</v>
      </c>
      <c r="U148" s="89">
        <f t="shared" si="34"/>
        <v>0</v>
      </c>
      <c r="V148" s="89">
        <f t="shared" si="34"/>
        <v>-0.40998971518449184</v>
      </c>
      <c r="W148" s="89">
        <f t="shared" si="34"/>
        <v>0</v>
      </c>
      <c r="X148" s="89">
        <f t="shared" si="34"/>
        <v>0</v>
      </c>
      <c r="Y148" s="89">
        <f t="shared" si="34"/>
        <v>0</v>
      </c>
      <c r="AQ148" s="3"/>
    </row>
    <row r="149" spans="3:43" x14ac:dyDescent="0.35">
      <c r="C149" s="32"/>
      <c r="F149" t="s">
        <v>198</v>
      </c>
      <c r="G149" t="s">
        <v>172</v>
      </c>
      <c r="J149" s="89">
        <f t="shared" ref="J149:Y149" si="35">J89 + J112 + J135</f>
        <v>468.78118708482361</v>
      </c>
      <c r="K149" s="89">
        <f t="shared" si="35"/>
        <v>40.824591773097183</v>
      </c>
      <c r="L149" s="89">
        <f t="shared" si="35"/>
        <v>200.62148525370912</v>
      </c>
      <c r="M149" s="89">
        <f t="shared" si="35"/>
        <v>2.8504381644990029</v>
      </c>
      <c r="N149" s="89">
        <f t="shared" si="35"/>
        <v>231.82441248533812</v>
      </c>
      <c r="O149" s="89">
        <f t="shared" si="35"/>
        <v>15.095914015683748</v>
      </c>
      <c r="P149" s="89">
        <f t="shared" si="35"/>
        <v>0</v>
      </c>
      <c r="Q149" s="89">
        <f t="shared" si="35"/>
        <v>10.562014744299551</v>
      </c>
      <c r="R149" s="89">
        <f t="shared" si="35"/>
        <v>-0.85384589861459803</v>
      </c>
      <c r="S149" s="89">
        <f t="shared" si="35"/>
        <v>0</v>
      </c>
      <c r="T149" s="89">
        <f t="shared" si="35"/>
        <v>-48.872597153355549</v>
      </c>
      <c r="U149" s="89">
        <f t="shared" si="35"/>
        <v>0</v>
      </c>
      <c r="V149" s="89">
        <f t="shared" si="35"/>
        <v>0</v>
      </c>
      <c r="W149" s="89">
        <f t="shared" si="35"/>
        <v>0</v>
      </c>
      <c r="X149" s="89">
        <f t="shared" si="35"/>
        <v>0</v>
      </c>
      <c r="Y149" s="89">
        <f t="shared" si="35"/>
        <v>0</v>
      </c>
      <c r="AQ149" s="3"/>
    </row>
    <row r="150" spans="3:43" x14ac:dyDescent="0.35">
      <c r="C150" s="32"/>
      <c r="F150" s="37" t="s">
        <v>199</v>
      </c>
      <c r="G150" s="37" t="s">
        <v>172</v>
      </c>
      <c r="H150" s="37"/>
      <c r="I150" s="37"/>
      <c r="J150" s="82">
        <f t="shared" ref="J150:Y150" si="36">J90 + J113 + J136</f>
        <v>452.57219244494797</v>
      </c>
      <c r="K150" s="82">
        <f t="shared" si="36"/>
        <v>39.41300443244414</v>
      </c>
      <c r="L150" s="82">
        <f t="shared" si="36"/>
        <v>193.68461861163362</v>
      </c>
      <c r="M150" s="82">
        <f t="shared" si="36"/>
        <v>2.7518788831059524</v>
      </c>
      <c r="N150" s="82">
        <f t="shared" si="36"/>
        <v>223.80864572060392</v>
      </c>
      <c r="O150" s="82">
        <f t="shared" si="36"/>
        <v>0</v>
      </c>
      <c r="P150" s="82">
        <f t="shared" si="36"/>
        <v>0</v>
      </c>
      <c r="Q150" s="82">
        <f t="shared" si="36"/>
        <v>10.196813142585828</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35">
      <c r="C151" s="32"/>
      <c r="J151" s="63"/>
      <c r="K151" s="63"/>
      <c r="L151" s="63"/>
      <c r="M151" s="63"/>
      <c r="N151" s="63"/>
      <c r="O151" s="63"/>
      <c r="P151" s="63"/>
      <c r="Q151" s="63"/>
      <c r="R151" s="63"/>
      <c r="S151" s="63"/>
      <c r="T151" s="63"/>
      <c r="U151" s="63"/>
      <c r="V151" s="63"/>
      <c r="W151" s="63"/>
      <c r="X151" s="63"/>
      <c r="Y151" s="63"/>
      <c r="AQ151" s="3"/>
    </row>
    <row r="152" spans="3:43" x14ac:dyDescent="0.35">
      <c r="E152" s="32" t="s">
        <v>518</v>
      </c>
      <c r="J152" s="63"/>
      <c r="K152" s="63"/>
      <c r="L152" s="63"/>
      <c r="M152" s="63"/>
      <c r="N152" s="63"/>
      <c r="O152" s="63"/>
      <c r="P152" s="63"/>
      <c r="Q152" s="63"/>
      <c r="R152" s="63"/>
      <c r="S152" s="63"/>
      <c r="T152" s="63"/>
      <c r="U152" s="63"/>
      <c r="V152" s="63"/>
      <c r="W152" s="63"/>
      <c r="X152" s="63"/>
      <c r="Y152" s="63"/>
      <c r="AQ152" s="3"/>
    </row>
    <row r="153" spans="3:43" x14ac:dyDescent="0.35">
      <c r="E153" s="29" t="s">
        <v>519</v>
      </c>
      <c r="J153" s="63"/>
      <c r="K153" s="63"/>
      <c r="L153" s="63"/>
      <c r="M153" s="63"/>
      <c r="N153" s="63"/>
      <c r="O153" s="63"/>
      <c r="P153" s="63"/>
      <c r="Q153" s="63"/>
      <c r="R153" s="63"/>
      <c r="S153" s="63"/>
      <c r="T153" s="63"/>
      <c r="U153" s="63"/>
      <c r="V153" s="63"/>
      <c r="W153" s="63"/>
      <c r="X153" s="63"/>
      <c r="Y153" s="63"/>
      <c r="AQ153" s="3"/>
    </row>
    <row r="154" spans="3:43" x14ac:dyDescent="0.35">
      <c r="C154" s="32"/>
      <c r="F154" s="23" t="s">
        <v>191</v>
      </c>
      <c r="G154" s="23" t="s">
        <v>520</v>
      </c>
      <c r="H154" s="101">
        <f t="shared" ref="H154:H162" si="37">SUM(J142:Y142) * thousand</f>
        <v>881567.71074328502</v>
      </c>
      <c r="J154" s="63"/>
      <c r="K154" s="63"/>
      <c r="L154" s="63"/>
      <c r="M154" s="63"/>
      <c r="N154" s="63"/>
      <c r="O154" s="63"/>
      <c r="P154" s="63"/>
      <c r="Q154" s="63"/>
      <c r="R154" s="63"/>
      <c r="S154" s="63"/>
      <c r="T154" s="63"/>
      <c r="U154" s="63"/>
      <c r="V154" s="63"/>
      <c r="W154" s="63"/>
      <c r="X154" s="63"/>
      <c r="Y154" s="63"/>
      <c r="AQ154" s="3"/>
    </row>
    <row r="155" spans="3:43" x14ac:dyDescent="0.35">
      <c r="C155" s="32"/>
      <c r="F155" t="s">
        <v>192</v>
      </c>
      <c r="G155" t="s">
        <v>520</v>
      </c>
      <c r="H155" s="121">
        <f t="shared" si="37"/>
        <v>0</v>
      </c>
      <c r="J155" s="63"/>
      <c r="K155" s="63"/>
      <c r="L155" s="63"/>
      <c r="M155" s="63"/>
      <c r="N155" s="63"/>
      <c r="O155" s="63"/>
      <c r="P155" s="63"/>
      <c r="Q155" s="63"/>
      <c r="R155" s="63"/>
      <c r="S155" s="63"/>
      <c r="T155" s="63"/>
      <c r="U155" s="63"/>
      <c r="V155" s="63"/>
      <c r="W155" s="63"/>
      <c r="X155" s="63"/>
      <c r="Y155" s="63"/>
      <c r="AQ155" s="3"/>
    </row>
    <row r="156" spans="3:43" x14ac:dyDescent="0.35">
      <c r="C156" s="32"/>
      <c r="F156" t="s">
        <v>193</v>
      </c>
      <c r="G156" t="s">
        <v>520</v>
      </c>
      <c r="H156" s="121">
        <f t="shared" si="37"/>
        <v>0</v>
      </c>
      <c r="J156" s="63"/>
      <c r="K156" s="63"/>
      <c r="L156" s="63"/>
      <c r="M156" s="63"/>
      <c r="N156" s="63"/>
      <c r="O156" s="63"/>
      <c r="P156" s="63"/>
      <c r="Q156" s="63"/>
      <c r="R156" s="63"/>
      <c r="S156" s="63"/>
      <c r="T156" s="63"/>
      <c r="U156" s="63"/>
      <c r="V156" s="63"/>
      <c r="W156" s="63"/>
      <c r="X156" s="63"/>
      <c r="Y156" s="63"/>
      <c r="AQ156" s="3"/>
    </row>
    <row r="157" spans="3:43" x14ac:dyDescent="0.35">
      <c r="C157" s="32"/>
      <c r="F157" t="s">
        <v>194</v>
      </c>
      <c r="G157" t="s">
        <v>520</v>
      </c>
      <c r="H157" s="121">
        <f t="shared" si="37"/>
        <v>875877.97939321375</v>
      </c>
      <c r="J157" s="63"/>
      <c r="K157" s="63"/>
      <c r="L157" s="63"/>
      <c r="M157" s="63"/>
      <c r="N157" s="63"/>
      <c r="O157" s="63"/>
      <c r="P157" s="63"/>
      <c r="Q157" s="63"/>
      <c r="R157" s="63"/>
      <c r="S157" s="63"/>
      <c r="T157" s="63"/>
      <c r="U157" s="63"/>
      <c r="V157" s="63"/>
      <c r="W157" s="63"/>
      <c r="X157" s="63"/>
      <c r="Y157" s="63"/>
      <c r="AQ157" s="3"/>
    </row>
    <row r="158" spans="3:43" x14ac:dyDescent="0.35">
      <c r="C158" s="32"/>
      <c r="F158" t="s">
        <v>195</v>
      </c>
      <c r="G158" t="s">
        <v>520</v>
      </c>
      <c r="H158" s="121">
        <f t="shared" si="37"/>
        <v>864801.70144368825</v>
      </c>
      <c r="J158" s="63"/>
      <c r="K158" s="63"/>
      <c r="L158" s="63"/>
      <c r="M158" s="63"/>
      <c r="N158" s="63"/>
      <c r="O158" s="63"/>
      <c r="P158" s="63"/>
      <c r="Q158" s="63"/>
      <c r="R158" s="63"/>
      <c r="S158" s="63"/>
      <c r="T158" s="63"/>
      <c r="U158" s="63"/>
      <c r="V158" s="63"/>
      <c r="W158" s="63"/>
      <c r="X158" s="63"/>
      <c r="Y158" s="63"/>
      <c r="AQ158" s="3"/>
    </row>
    <row r="159" spans="3:43" x14ac:dyDescent="0.35">
      <c r="C159" s="32"/>
      <c r="F159" t="s">
        <v>196</v>
      </c>
      <c r="G159" t="s">
        <v>520</v>
      </c>
      <c r="H159" s="121">
        <f t="shared" si="37"/>
        <v>0</v>
      </c>
      <c r="J159" s="63"/>
      <c r="K159" s="63"/>
      <c r="L159" s="63"/>
      <c r="M159" s="63"/>
      <c r="N159" s="63"/>
      <c r="O159" s="63"/>
      <c r="P159" s="63"/>
      <c r="Q159" s="63"/>
      <c r="R159" s="63"/>
      <c r="S159" s="63"/>
      <c r="T159" s="63"/>
      <c r="U159" s="63"/>
      <c r="V159" s="63"/>
      <c r="W159" s="63"/>
      <c r="X159" s="63"/>
      <c r="Y159" s="63"/>
      <c r="AQ159" s="3"/>
    </row>
    <row r="160" spans="3:43" x14ac:dyDescent="0.35">
      <c r="C160" s="32"/>
      <c r="F160" t="s">
        <v>197</v>
      </c>
      <c r="G160" t="s">
        <v>520</v>
      </c>
      <c r="H160" s="121">
        <f t="shared" si="37"/>
        <v>1047797.0305351227</v>
      </c>
      <c r="J160" s="63"/>
      <c r="K160" s="63"/>
      <c r="L160" s="63"/>
      <c r="M160" s="63"/>
      <c r="N160" s="63"/>
      <c r="O160" s="63"/>
      <c r="P160" s="63"/>
      <c r="Q160" s="63"/>
      <c r="R160" s="63"/>
      <c r="S160" s="63"/>
      <c r="T160" s="63"/>
      <c r="U160" s="63"/>
      <c r="V160" s="63"/>
      <c r="W160" s="63"/>
      <c r="X160" s="63"/>
      <c r="Y160" s="63"/>
      <c r="AQ160" s="3"/>
    </row>
    <row r="161" spans="3:43" x14ac:dyDescent="0.35">
      <c r="C161" s="32"/>
      <c r="F161" t="s">
        <v>198</v>
      </c>
      <c r="G161" t="s">
        <v>520</v>
      </c>
      <c r="H161" s="121">
        <f t="shared" si="37"/>
        <v>920833.60046948015</v>
      </c>
      <c r="J161" s="63"/>
      <c r="K161" s="63"/>
      <c r="L161" s="63"/>
      <c r="M161" s="63"/>
      <c r="N161" s="63"/>
      <c r="O161" s="63"/>
      <c r="P161" s="63"/>
      <c r="Q161" s="63"/>
      <c r="R161" s="63"/>
      <c r="S161" s="63"/>
      <c r="T161" s="63"/>
      <c r="U161" s="63"/>
      <c r="V161" s="63"/>
      <c r="W161" s="63"/>
      <c r="X161" s="63"/>
      <c r="Y161" s="63"/>
      <c r="AQ161" s="3"/>
    </row>
    <row r="162" spans="3:43" x14ac:dyDescent="0.35">
      <c r="C162" s="32"/>
      <c r="F162" s="37" t="s">
        <v>199</v>
      </c>
      <c r="G162" s="37" t="s">
        <v>520</v>
      </c>
      <c r="H162" s="131">
        <f t="shared" si="37"/>
        <v>922427.1532353214</v>
      </c>
      <c r="J162" s="63"/>
      <c r="K162" s="63"/>
      <c r="L162" s="63"/>
      <c r="M162" s="63"/>
      <c r="N162" s="63"/>
      <c r="O162" s="63"/>
      <c r="P162" s="63"/>
      <c r="Q162" s="63"/>
      <c r="R162" s="63"/>
      <c r="S162" s="63"/>
      <c r="T162" s="63"/>
      <c r="U162" s="63"/>
      <c r="V162" s="63"/>
      <c r="W162" s="63"/>
      <c r="X162" s="63"/>
      <c r="Y162" s="63"/>
      <c r="AQ162" s="3"/>
    </row>
    <row r="163" spans="3:43" x14ac:dyDescent="0.35">
      <c r="C163" s="32"/>
      <c r="J163" s="63"/>
      <c r="K163" s="63"/>
      <c r="L163" s="63"/>
      <c r="M163" s="63"/>
      <c r="N163" s="63"/>
      <c r="O163" s="63"/>
      <c r="P163" s="63"/>
      <c r="Q163" s="63"/>
      <c r="R163" s="63"/>
      <c r="S163" s="63"/>
      <c r="T163" s="63"/>
      <c r="U163" s="63"/>
      <c r="V163" s="63"/>
      <c r="W163" s="63"/>
      <c r="X163" s="63"/>
      <c r="Y163" s="63"/>
      <c r="AQ163" s="3"/>
    </row>
    <row r="164" spans="3:43" x14ac:dyDescent="0.3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35">
      <c r="H165" s="63"/>
      <c r="J165" s="63"/>
      <c r="K165" s="63"/>
      <c r="L165" s="63"/>
      <c r="M165" s="63"/>
      <c r="N165" s="63"/>
      <c r="O165" s="63"/>
      <c r="P165" s="63"/>
      <c r="Q165" s="63"/>
      <c r="R165" s="63"/>
      <c r="S165" s="63"/>
      <c r="T165" s="63"/>
      <c r="U165" s="63"/>
      <c r="V165" s="63"/>
      <c r="W165" s="63"/>
      <c r="X165" s="63"/>
      <c r="Y165" s="63"/>
    </row>
    <row r="166" spans="3:43" x14ac:dyDescent="0.35">
      <c r="E166" s="32" t="s">
        <v>521</v>
      </c>
      <c r="H166" s="63"/>
      <c r="J166" s="63"/>
      <c r="K166" s="63"/>
      <c r="L166" s="63"/>
      <c r="M166" s="63"/>
      <c r="N166" s="63"/>
      <c r="O166" s="63"/>
      <c r="P166" s="63"/>
      <c r="Q166" s="63"/>
      <c r="R166" s="63"/>
      <c r="S166" s="63"/>
      <c r="T166" s="63"/>
      <c r="U166" s="63"/>
      <c r="V166" s="63"/>
      <c r="W166" s="63"/>
      <c r="X166" s="63"/>
      <c r="Y166" s="63"/>
    </row>
    <row r="167" spans="3:43" x14ac:dyDescent="0.35">
      <c r="E167" s="29" t="s">
        <v>522</v>
      </c>
      <c r="F167" s="29"/>
      <c r="J167" s="63"/>
      <c r="K167" s="63"/>
      <c r="L167" s="63"/>
      <c r="M167" s="63"/>
      <c r="N167" s="63"/>
      <c r="O167" s="63"/>
      <c r="P167" s="63"/>
      <c r="Q167" s="63"/>
      <c r="R167" s="63"/>
      <c r="S167" s="63"/>
      <c r="T167" s="63"/>
      <c r="U167" s="63"/>
      <c r="V167" s="63"/>
      <c r="W167" s="63"/>
      <c r="X167" s="63"/>
      <c r="Y167" s="63"/>
      <c r="AQ167" s="3"/>
    </row>
    <row r="168" spans="3:43" x14ac:dyDescent="0.35">
      <c r="C168" s="32"/>
      <c r="F168" s="23" t="s">
        <v>191</v>
      </c>
      <c r="G168" s="23" t="s">
        <v>172</v>
      </c>
      <c r="H168" s="129"/>
      <c r="I168" s="23"/>
      <c r="J168" s="158">
        <f t="shared" ref="J168:Y168" si="38">J142 * (1 - J23)</f>
        <v>504.93445095817833</v>
      </c>
      <c r="K168" s="158">
        <f t="shared" si="38"/>
        <v>40.451408064689311</v>
      </c>
      <c r="L168" s="158">
        <f t="shared" si="38"/>
        <v>210.47414011454148</v>
      </c>
      <c r="M168" s="158">
        <f t="shared" si="38"/>
        <v>2.8096415175415714</v>
      </c>
      <c r="N168" s="158">
        <f t="shared" si="38"/>
        <v>244.25212749059119</v>
      </c>
      <c r="O168" s="158">
        <f t="shared" si="38"/>
        <v>16.00316667222879</v>
      </c>
      <c r="P168" s="158">
        <f t="shared" si="38"/>
        <v>109.46224583757555</v>
      </c>
      <c r="Q168" s="158">
        <f t="shared" si="38"/>
        <v>12.367074508544608</v>
      </c>
      <c r="R168" s="158">
        <f t="shared" si="38"/>
        <v>-0.89270165696750936</v>
      </c>
      <c r="S168" s="158">
        <f t="shared" si="38"/>
        <v>-2.9611396208011509E-4</v>
      </c>
      <c r="T168" s="158">
        <f t="shared" si="38"/>
        <v>-51.793991316819969</v>
      </c>
      <c r="U168" s="158">
        <f t="shared" si="38"/>
        <v>0</v>
      </c>
      <c r="V168" s="158">
        <f t="shared" si="38"/>
        <v>-0.42594340632000494</v>
      </c>
      <c r="W168" s="158">
        <f t="shared" si="38"/>
        <v>0</v>
      </c>
      <c r="X168" s="158">
        <f t="shared" si="38"/>
        <v>-206.0736119265361</v>
      </c>
      <c r="Y168" s="158">
        <f t="shared" si="38"/>
        <v>0</v>
      </c>
      <c r="AQ168" s="3"/>
    </row>
    <row r="169" spans="3:43" x14ac:dyDescent="0.35">
      <c r="C169" s="32"/>
      <c r="F169" t="s">
        <v>192</v>
      </c>
      <c r="G169" t="s">
        <v>172</v>
      </c>
      <c r="H169" s="63"/>
      <c r="J169" s="89">
        <f t="shared" ref="J169:Y169" si="39">J143 * (1 - J24)</f>
        <v>0</v>
      </c>
      <c r="K169" s="89">
        <f t="shared" si="39"/>
        <v>0</v>
      </c>
      <c r="L169" s="89">
        <f t="shared" si="39"/>
        <v>0</v>
      </c>
      <c r="M169" s="89">
        <f t="shared" si="39"/>
        <v>0</v>
      </c>
      <c r="N169" s="89">
        <f t="shared" si="39"/>
        <v>0</v>
      </c>
      <c r="O169" s="89">
        <f t="shared" si="39"/>
        <v>0</v>
      </c>
      <c r="P169" s="89">
        <f t="shared" si="39"/>
        <v>0</v>
      </c>
      <c r="Q169" s="89">
        <f t="shared" si="39"/>
        <v>0</v>
      </c>
      <c r="R169" s="89">
        <f t="shared" si="39"/>
        <v>0</v>
      </c>
      <c r="S169" s="89">
        <f t="shared" si="39"/>
        <v>0</v>
      </c>
      <c r="T169" s="89">
        <f t="shared" si="39"/>
        <v>0</v>
      </c>
      <c r="U169" s="89">
        <f t="shared" si="39"/>
        <v>0</v>
      </c>
      <c r="V169" s="89">
        <f t="shared" si="39"/>
        <v>0</v>
      </c>
      <c r="W169" s="89">
        <f t="shared" si="39"/>
        <v>0</v>
      </c>
      <c r="X169" s="89">
        <f t="shared" si="39"/>
        <v>0</v>
      </c>
      <c r="Y169" s="89">
        <f t="shared" si="39"/>
        <v>0</v>
      </c>
      <c r="AQ169" s="3"/>
    </row>
    <row r="170" spans="3:43" x14ac:dyDescent="0.35">
      <c r="C170" s="32"/>
      <c r="F170" t="s">
        <v>193</v>
      </c>
      <c r="G170" t="s">
        <v>172</v>
      </c>
      <c r="H170" s="63"/>
      <c r="J170" s="89">
        <f t="shared" ref="J170:Y170" si="40">J144 * (1 - J25)</f>
        <v>0</v>
      </c>
      <c r="K170" s="89">
        <f t="shared" si="40"/>
        <v>0</v>
      </c>
      <c r="L170" s="89">
        <f t="shared" si="40"/>
        <v>0</v>
      </c>
      <c r="M170" s="89">
        <f t="shared" si="40"/>
        <v>0</v>
      </c>
      <c r="N170" s="89">
        <f t="shared" si="40"/>
        <v>0</v>
      </c>
      <c r="O170" s="89">
        <f t="shared" si="40"/>
        <v>0</v>
      </c>
      <c r="P170" s="89">
        <f t="shared" si="40"/>
        <v>0</v>
      </c>
      <c r="Q170" s="89">
        <f t="shared" si="40"/>
        <v>0</v>
      </c>
      <c r="R170" s="89">
        <f t="shared" si="40"/>
        <v>0</v>
      </c>
      <c r="S170" s="89">
        <f t="shared" si="40"/>
        <v>0</v>
      </c>
      <c r="T170" s="89">
        <f t="shared" si="40"/>
        <v>0</v>
      </c>
      <c r="U170" s="89">
        <f t="shared" si="40"/>
        <v>0</v>
      </c>
      <c r="V170" s="89">
        <f t="shared" si="40"/>
        <v>0</v>
      </c>
      <c r="W170" s="89">
        <f t="shared" si="40"/>
        <v>0</v>
      </c>
      <c r="X170" s="89">
        <f t="shared" si="40"/>
        <v>0</v>
      </c>
      <c r="Y170" s="89">
        <f t="shared" si="40"/>
        <v>0</v>
      </c>
      <c r="AQ170" s="3"/>
    </row>
    <row r="171" spans="3:43" x14ac:dyDescent="0.35">
      <c r="C171" s="32"/>
      <c r="F171" t="s">
        <v>194</v>
      </c>
      <c r="G171" t="s">
        <v>172</v>
      </c>
      <c r="H171" s="63"/>
      <c r="J171" s="89">
        <f t="shared" ref="J171:Y171" si="41">J145 * (1 - J26)</f>
        <v>498.26228103194171</v>
      </c>
      <c r="K171" s="89">
        <f t="shared" si="41"/>
        <v>40.470058573148044</v>
      </c>
      <c r="L171" s="89">
        <f t="shared" si="41"/>
        <v>210.60918116934965</v>
      </c>
      <c r="M171" s="89">
        <f t="shared" si="41"/>
        <v>2.8027925375930596</v>
      </c>
      <c r="N171" s="89">
        <f t="shared" si="41"/>
        <v>243.21106645095668</v>
      </c>
      <c r="O171" s="89">
        <f t="shared" si="41"/>
        <v>15.831635238645848</v>
      </c>
      <c r="P171" s="89">
        <f t="shared" si="41"/>
        <v>86.853973875247178</v>
      </c>
      <c r="Q171" s="89">
        <f t="shared" si="41"/>
        <v>11.500391323228985</v>
      </c>
      <c r="R171" s="89">
        <f t="shared" si="41"/>
        <v>-0.89611339140007384</v>
      </c>
      <c r="S171" s="89">
        <f t="shared" si="41"/>
        <v>-3.0151325493346534E-4</v>
      </c>
      <c r="T171" s="89">
        <f t="shared" si="41"/>
        <v>-51.114669665865357</v>
      </c>
      <c r="U171" s="89">
        <f t="shared" si="41"/>
        <v>0</v>
      </c>
      <c r="V171" s="89">
        <f t="shared" si="41"/>
        <v>-0.42022527406683602</v>
      </c>
      <c r="W171" s="89">
        <f t="shared" si="41"/>
        <v>0</v>
      </c>
      <c r="X171" s="89">
        <f t="shared" si="41"/>
        <v>-202.94558443112192</v>
      </c>
      <c r="Y171" s="89">
        <f t="shared" si="41"/>
        <v>0</v>
      </c>
      <c r="AQ171" s="3"/>
    </row>
    <row r="172" spans="3:43" x14ac:dyDescent="0.35">
      <c r="C172" s="32"/>
      <c r="F172" t="s">
        <v>195</v>
      </c>
      <c r="G172" t="s">
        <v>172</v>
      </c>
      <c r="H172" s="63"/>
      <c r="J172" s="89">
        <f t="shared" ref="J172:Y172" si="42">J146 * (1 - J27)</f>
        <v>491.96129887881398</v>
      </c>
      <c r="K172" s="89">
        <f t="shared" si="42"/>
        <v>39.958277676794999</v>
      </c>
      <c r="L172" s="89">
        <f t="shared" si="42"/>
        <v>207.94583549308351</v>
      </c>
      <c r="M172" s="89">
        <f t="shared" si="42"/>
        <v>2.7673486630904236</v>
      </c>
      <c r="N172" s="89">
        <f t="shared" si="42"/>
        <v>240.13544012424222</v>
      </c>
      <c r="O172" s="89">
        <f t="shared" si="42"/>
        <v>15.631429734655187</v>
      </c>
      <c r="P172" s="89">
        <f t="shared" si="42"/>
        <v>0</v>
      </c>
      <c r="Q172" s="89">
        <f t="shared" si="42"/>
        <v>11.354958359024725</v>
      </c>
      <c r="R172" s="89">
        <f t="shared" si="42"/>
        <v>-0.8847812181625242</v>
      </c>
      <c r="S172" s="89">
        <f t="shared" si="42"/>
        <v>-2.9770034412204989E-4</v>
      </c>
      <c r="T172" s="89">
        <f t="shared" si="42"/>
        <v>-50.468277928845659</v>
      </c>
      <c r="U172" s="89">
        <f t="shared" si="42"/>
        <v>0</v>
      </c>
      <c r="V172" s="89">
        <f t="shared" si="42"/>
        <v>-0.41491114122357831</v>
      </c>
      <c r="W172" s="89">
        <f t="shared" si="42"/>
        <v>0</v>
      </c>
      <c r="X172" s="89">
        <f t="shared" si="42"/>
        <v>-200.37915194317969</v>
      </c>
      <c r="Y172" s="89">
        <f t="shared" si="42"/>
        <v>0</v>
      </c>
      <c r="AQ172" s="3"/>
    </row>
    <row r="173" spans="3:43" x14ac:dyDescent="0.35">
      <c r="C173" s="32"/>
      <c r="F173" t="s">
        <v>196</v>
      </c>
      <c r="G173" t="s">
        <v>172</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35">
      <c r="C174" s="32"/>
      <c r="F174" t="s">
        <v>197</v>
      </c>
      <c r="G174" t="s">
        <v>172</v>
      </c>
      <c r="H174" s="63"/>
      <c r="J174" s="89">
        <f t="shared" ref="J174:Y174" si="44">J148 * (1 - J29)</f>
        <v>479.63051060462669</v>
      </c>
      <c r="K174" s="89">
        <f t="shared" si="44"/>
        <v>41.769423212397406</v>
      </c>
      <c r="L174" s="89">
        <f t="shared" si="44"/>
        <v>205.26460545244493</v>
      </c>
      <c r="M174" s="89">
        <f t="shared" si="44"/>
        <v>2.9164078037930974</v>
      </c>
      <c r="N174" s="89">
        <f t="shared" si="44"/>
        <v>189.75174669002411</v>
      </c>
      <c r="O174" s="89">
        <f t="shared" si="44"/>
        <v>0</v>
      </c>
      <c r="P174" s="89">
        <f t="shared" si="44"/>
        <v>0</v>
      </c>
      <c r="Q174" s="89">
        <f t="shared" si="44"/>
        <v>10.806458672807931</v>
      </c>
      <c r="R174" s="89">
        <f t="shared" si="44"/>
        <v>-0.87360703802322903</v>
      </c>
      <c r="S174" s="89">
        <f t="shared" si="44"/>
        <v>-2.9672837230652747E-4</v>
      </c>
      <c r="T174" s="89">
        <f t="shared" si="44"/>
        <v>-50.003689083616429</v>
      </c>
      <c r="U174" s="89">
        <f t="shared" si="44"/>
        <v>0</v>
      </c>
      <c r="V174" s="89">
        <f t="shared" si="44"/>
        <v>-0.40998971518449184</v>
      </c>
      <c r="W174" s="89">
        <f t="shared" si="44"/>
        <v>0</v>
      </c>
      <c r="X174" s="89">
        <f t="shared" si="44"/>
        <v>0</v>
      </c>
      <c r="Y174" s="89">
        <f t="shared" si="44"/>
        <v>0</v>
      </c>
      <c r="AQ174" s="3"/>
    </row>
    <row r="175" spans="3:43" x14ac:dyDescent="0.35">
      <c r="C175" s="32"/>
      <c r="F175" t="s">
        <v>198</v>
      </c>
      <c r="G175" t="s">
        <v>172</v>
      </c>
      <c r="H175" s="63"/>
      <c r="J175" s="89">
        <f t="shared" ref="J175:Y175" si="45">J149 * (1 - J30)</f>
        <v>468.78118708482361</v>
      </c>
      <c r="K175" s="89">
        <f t="shared" si="45"/>
        <v>40.824591773097183</v>
      </c>
      <c r="L175" s="89">
        <f t="shared" si="45"/>
        <v>200.62148525370912</v>
      </c>
      <c r="M175" s="89">
        <f t="shared" si="45"/>
        <v>2.8504381644990029</v>
      </c>
      <c r="N175" s="89">
        <f t="shared" si="45"/>
        <v>0</v>
      </c>
      <c r="O175" s="89">
        <f t="shared" si="45"/>
        <v>0</v>
      </c>
      <c r="P175" s="89">
        <f t="shared" si="45"/>
        <v>0</v>
      </c>
      <c r="Q175" s="89">
        <f t="shared" si="45"/>
        <v>10.562014744299551</v>
      </c>
      <c r="R175" s="89">
        <f t="shared" si="45"/>
        <v>-0.85384589861459803</v>
      </c>
      <c r="S175" s="89">
        <f t="shared" si="45"/>
        <v>0</v>
      </c>
      <c r="T175" s="89">
        <f t="shared" si="45"/>
        <v>-48.872597153355549</v>
      </c>
      <c r="U175" s="89">
        <f t="shared" si="45"/>
        <v>0</v>
      </c>
      <c r="V175" s="89">
        <f t="shared" si="45"/>
        <v>0</v>
      </c>
      <c r="W175" s="89">
        <f t="shared" si="45"/>
        <v>0</v>
      </c>
      <c r="X175" s="89">
        <f t="shared" si="45"/>
        <v>0</v>
      </c>
      <c r="Y175" s="89">
        <f t="shared" si="45"/>
        <v>0</v>
      </c>
      <c r="AQ175" s="3"/>
    </row>
    <row r="176" spans="3:43" x14ac:dyDescent="0.35">
      <c r="C176" s="32"/>
      <c r="F176" s="37" t="s">
        <v>199</v>
      </c>
      <c r="G176" s="37" t="s">
        <v>172</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10.196813142585828</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35">
      <c r="C177" s="32"/>
      <c r="F177" s="108" t="s">
        <v>100</v>
      </c>
      <c r="G177" s="108" t="s">
        <v>172</v>
      </c>
      <c r="H177" s="168"/>
      <c r="I177" s="108"/>
      <c r="J177" s="167">
        <f t="shared" ref="J177:Y177" si="47">SUM(J168:J176)</f>
        <v>2443.5697285583842</v>
      </c>
      <c r="K177" s="167">
        <f t="shared" si="47"/>
        <v>203.47375930012694</v>
      </c>
      <c r="L177" s="167">
        <f t="shared" si="47"/>
        <v>1034.9152474831285</v>
      </c>
      <c r="M177" s="167">
        <f t="shared" si="47"/>
        <v>14.146628686517156</v>
      </c>
      <c r="N177" s="167">
        <f t="shared" si="47"/>
        <v>917.35038075581417</v>
      </c>
      <c r="O177" s="167">
        <f t="shared" si="47"/>
        <v>47.466231645529824</v>
      </c>
      <c r="P177" s="167">
        <f t="shared" si="47"/>
        <v>196.31621971282271</v>
      </c>
      <c r="Q177" s="167">
        <f t="shared" si="47"/>
        <v>66.787710750491641</v>
      </c>
      <c r="R177" s="167">
        <f t="shared" si="47"/>
        <v>-4.4010492031679345</v>
      </c>
      <c r="S177" s="167">
        <f t="shared" si="47"/>
        <v>-1.1920559334421578E-3</v>
      </c>
      <c r="T177" s="167">
        <f t="shared" si="47"/>
        <v>-252.25322514850293</v>
      </c>
      <c r="U177" s="167">
        <f t="shared" si="47"/>
        <v>0</v>
      </c>
      <c r="V177" s="167">
        <f t="shared" si="47"/>
        <v>-1.6710695367949111</v>
      </c>
      <c r="W177" s="167">
        <f t="shared" si="47"/>
        <v>0</v>
      </c>
      <c r="X177" s="167">
        <f t="shared" si="47"/>
        <v>-609.39834830083771</v>
      </c>
      <c r="Y177" s="167">
        <f t="shared" si="47"/>
        <v>0</v>
      </c>
      <c r="AQ177" s="3"/>
    </row>
    <row r="178" spans="2:43" x14ac:dyDescent="0.35">
      <c r="H178" s="166"/>
    </row>
    <row r="179" spans="2:43" x14ac:dyDescent="0.35">
      <c r="B179" s="30" t="s">
        <v>523</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35">
      <c r="C180" s="32"/>
      <c r="J180" s="63"/>
      <c r="K180" s="63"/>
      <c r="L180" s="63"/>
      <c r="M180" s="63"/>
      <c r="N180" s="63"/>
      <c r="O180" s="63"/>
      <c r="P180" s="63"/>
      <c r="Q180" s="63"/>
      <c r="R180" s="63"/>
      <c r="S180" s="63"/>
      <c r="T180" s="63"/>
      <c r="U180" s="63"/>
      <c r="V180" s="63"/>
      <c r="W180" s="63"/>
      <c r="X180" s="63"/>
      <c r="Y180" s="63"/>
      <c r="AQ180" s="3"/>
    </row>
    <row r="181" spans="2:43" x14ac:dyDescent="0.35">
      <c r="C181" s="29" t="s">
        <v>524</v>
      </c>
      <c r="J181" s="63"/>
      <c r="K181" s="63"/>
      <c r="L181" s="63"/>
      <c r="M181" s="63"/>
      <c r="N181" s="63"/>
      <c r="O181" s="63"/>
      <c r="P181" s="63"/>
      <c r="Q181" s="63"/>
      <c r="R181" s="63"/>
      <c r="S181" s="63"/>
      <c r="T181" s="63"/>
      <c r="U181" s="63"/>
      <c r="V181" s="63"/>
      <c r="W181" s="63"/>
      <c r="X181" s="63"/>
      <c r="Y181" s="63"/>
      <c r="AQ181" s="3"/>
    </row>
    <row r="182" spans="2:43" x14ac:dyDescent="0.35">
      <c r="C182" s="29" t="s">
        <v>525</v>
      </c>
      <c r="J182" s="63"/>
      <c r="K182" s="63"/>
      <c r="L182" s="63"/>
      <c r="M182" s="63"/>
      <c r="N182" s="63"/>
      <c r="O182" s="63"/>
      <c r="P182" s="63"/>
      <c r="Q182" s="63"/>
      <c r="R182" s="63"/>
      <c r="S182" s="63"/>
      <c r="T182" s="63"/>
      <c r="U182" s="63"/>
      <c r="V182" s="63"/>
      <c r="W182" s="63"/>
      <c r="X182" s="63"/>
      <c r="Y182" s="63"/>
      <c r="AQ182" s="3"/>
    </row>
    <row r="183" spans="2:43" x14ac:dyDescent="0.35">
      <c r="C183" s="32"/>
      <c r="J183" s="63"/>
      <c r="K183" s="63"/>
      <c r="L183" s="63"/>
      <c r="M183" s="63"/>
      <c r="N183" s="63"/>
      <c r="O183" s="63"/>
      <c r="P183" s="63"/>
      <c r="Q183" s="63"/>
      <c r="R183" s="63"/>
      <c r="S183" s="63"/>
      <c r="T183" s="63"/>
      <c r="U183" s="63"/>
      <c r="V183" s="63"/>
      <c r="W183" s="63"/>
      <c r="X183" s="63"/>
      <c r="Y183" s="63"/>
      <c r="AQ183" s="3"/>
    </row>
    <row r="184" spans="2:43" x14ac:dyDescent="0.3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35">
      <c r="C185" s="32"/>
      <c r="J185" s="63"/>
      <c r="K185" s="63"/>
      <c r="L185" s="63"/>
      <c r="M185" s="63"/>
      <c r="N185" s="63"/>
      <c r="O185" s="63"/>
      <c r="P185" s="63"/>
      <c r="Q185" s="63"/>
      <c r="R185" s="63"/>
      <c r="S185" s="63"/>
      <c r="T185" s="63"/>
      <c r="U185" s="63"/>
      <c r="V185" s="63"/>
      <c r="W185" s="63"/>
      <c r="X185" s="63"/>
      <c r="Y185" s="63"/>
      <c r="AQ185" s="3"/>
    </row>
    <row r="186" spans="2:43" x14ac:dyDescent="0.35">
      <c r="D186" s="29" t="s">
        <v>526</v>
      </c>
      <c r="E186" s="29"/>
      <c r="J186" s="63"/>
      <c r="K186" s="63"/>
      <c r="L186" s="63"/>
      <c r="M186" s="63"/>
      <c r="N186" s="63"/>
      <c r="O186" s="63"/>
      <c r="P186" s="63"/>
      <c r="Q186" s="63"/>
      <c r="R186" s="63"/>
      <c r="S186" s="63"/>
      <c r="T186" s="63"/>
      <c r="U186" s="63"/>
      <c r="V186" s="63"/>
      <c r="W186" s="63"/>
      <c r="X186" s="63"/>
      <c r="Y186" s="63"/>
      <c r="AQ186" s="3"/>
    </row>
    <row r="187" spans="2:43" x14ac:dyDescent="0.35">
      <c r="J187" s="63"/>
      <c r="K187" s="63"/>
      <c r="L187" s="63"/>
      <c r="M187" s="63"/>
      <c r="N187" s="63"/>
      <c r="O187" s="63"/>
      <c r="P187" s="63"/>
      <c r="Q187" s="63"/>
      <c r="R187" s="63"/>
      <c r="S187" s="63"/>
      <c r="T187" s="63"/>
      <c r="U187" s="63"/>
      <c r="V187" s="63"/>
      <c r="W187" s="63"/>
      <c r="X187" s="63"/>
      <c r="Y187" s="63"/>
      <c r="AQ187" s="3"/>
    </row>
    <row r="188" spans="2:43" x14ac:dyDescent="0.35">
      <c r="C188" s="32"/>
      <c r="E188" t="s">
        <v>250</v>
      </c>
      <c r="G188" t="s">
        <v>251</v>
      </c>
      <c r="J188" s="120">
        <f>'Volume adjustments'!J286</f>
        <v>0</v>
      </c>
      <c r="K188" s="120">
        <f>'Volume adjustments'!K286</f>
        <v>0</v>
      </c>
      <c r="L188" s="120">
        <f>'Volume adjustments'!L286</f>
        <v>0</v>
      </c>
      <c r="M188" s="120">
        <f>'Volume adjustments'!M286</f>
        <v>0</v>
      </c>
      <c r="N188" s="120">
        <f>'Volume adjustments'!N286</f>
        <v>883138.02873149351</v>
      </c>
      <c r="O188" s="120">
        <f>'Volume adjustments'!O286</f>
        <v>43987.521467132006</v>
      </c>
      <c r="P188" s="120">
        <f>'Volume adjustments'!P286</f>
        <v>406015.14101201296</v>
      </c>
      <c r="Q188" s="120">
        <f>'Volume adjustments'!Q286</f>
        <v>0</v>
      </c>
      <c r="R188" s="120">
        <f>'Volume adjustments'!R286</f>
        <v>0</v>
      </c>
      <c r="S188" s="120">
        <f>'Volume adjustments'!S286</f>
        <v>0</v>
      </c>
      <c r="T188" s="120">
        <f>'Volume adjustments'!T286</f>
        <v>0</v>
      </c>
      <c r="U188" s="120">
        <f>'Volume adjustments'!U286</f>
        <v>0</v>
      </c>
      <c r="V188" s="120">
        <f>'Volume adjustments'!V286</f>
        <v>0</v>
      </c>
      <c r="W188" s="120">
        <f>'Volume adjustments'!W286</f>
        <v>0</v>
      </c>
      <c r="X188" s="120">
        <f>'Volume adjustments'!X286</f>
        <v>0</v>
      </c>
      <c r="Y188" s="120">
        <f>'Volume adjustments'!Y286</f>
        <v>0</v>
      </c>
      <c r="AQ188" s="3"/>
    </row>
    <row r="189" spans="2:43" x14ac:dyDescent="0.35">
      <c r="C189" s="32"/>
      <c r="E189" t="s">
        <v>252</v>
      </c>
      <c r="G189" t="s">
        <v>251</v>
      </c>
      <c r="J189" s="120">
        <f>'Volume adjustments'!J297</f>
        <v>0</v>
      </c>
      <c r="K189" s="120">
        <f>'Volume adjustments'!K297</f>
        <v>0</v>
      </c>
      <c r="L189" s="120">
        <f>'Volume adjustments'!L297</f>
        <v>0</v>
      </c>
      <c r="M189" s="120">
        <f>'Volume adjustments'!M297</f>
        <v>0</v>
      </c>
      <c r="N189" s="120">
        <f>'Volume adjustments'!N297</f>
        <v>17895.425388253607</v>
      </c>
      <c r="O189" s="120">
        <f>'Volume adjustments'!O297</f>
        <v>1310.6201857762587</v>
      </c>
      <c r="P189" s="120">
        <f>'Volume adjustments'!P297</f>
        <v>10335.999999999998</v>
      </c>
      <c r="Q189" s="120">
        <f>'Volume adjustments'!Q297</f>
        <v>0</v>
      </c>
      <c r="R189" s="120">
        <f>'Volume adjustments'!R297</f>
        <v>0</v>
      </c>
      <c r="S189" s="120">
        <f>'Volume adjustments'!S297</f>
        <v>0</v>
      </c>
      <c r="T189" s="120">
        <f>'Volume adjustments'!T297</f>
        <v>0</v>
      </c>
      <c r="U189" s="120">
        <f>'Volume adjustments'!U297</f>
        <v>0</v>
      </c>
      <c r="V189" s="120">
        <f>'Volume adjustments'!V297</f>
        <v>0</v>
      </c>
      <c r="W189" s="120">
        <f>'Volume adjustments'!W297</f>
        <v>0</v>
      </c>
      <c r="X189" s="120">
        <f>'Volume adjustments'!X297</f>
        <v>0</v>
      </c>
      <c r="Y189" s="120">
        <f>'Volume adjustments'!Y297</f>
        <v>0</v>
      </c>
      <c r="AQ189" s="3"/>
    </row>
    <row r="190" spans="2:43" x14ac:dyDescent="0.35">
      <c r="C190" s="32"/>
      <c r="J190" s="120"/>
      <c r="K190" s="120"/>
      <c r="L190" s="120"/>
      <c r="M190" s="120"/>
      <c r="N190" s="120"/>
      <c r="O190" s="120"/>
      <c r="P190" s="120"/>
      <c r="Q190" s="120"/>
      <c r="R190" s="120"/>
      <c r="S190" s="120"/>
      <c r="T190" s="120"/>
      <c r="U190" s="120"/>
      <c r="V190" s="120"/>
      <c r="W190" s="120"/>
      <c r="X190" s="120"/>
      <c r="Y190" s="120"/>
      <c r="AQ190" s="3"/>
    </row>
    <row r="191" spans="2:43" x14ac:dyDescent="0.35">
      <c r="C191" s="32"/>
      <c r="E191" t="s">
        <v>527</v>
      </c>
      <c r="G191" t="s">
        <v>251</v>
      </c>
      <c r="J191" s="89">
        <f t="shared" ref="J191:Y191" si="48">SUM(J188:J189)</f>
        <v>0</v>
      </c>
      <c r="K191" s="89">
        <f t="shared" si="48"/>
        <v>0</v>
      </c>
      <c r="L191" s="89">
        <f t="shared" si="48"/>
        <v>0</v>
      </c>
      <c r="M191" s="89">
        <f t="shared" si="48"/>
        <v>0</v>
      </c>
      <c r="N191" s="89">
        <f t="shared" si="48"/>
        <v>901033.45411974716</v>
      </c>
      <c r="O191" s="89">
        <f t="shared" si="48"/>
        <v>45298.141652908263</v>
      </c>
      <c r="P191" s="89">
        <f t="shared" si="48"/>
        <v>416351.14101201296</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35">
      <c r="C192" s="32"/>
      <c r="E192" t="s">
        <v>528</v>
      </c>
      <c r="G192" t="s">
        <v>172</v>
      </c>
      <c r="J192" s="89">
        <f t="shared" ref="J192:Y192" si="49">J191 * PowerFactor / thousand</f>
        <v>0</v>
      </c>
      <c r="K192" s="89">
        <f t="shared" si="49"/>
        <v>0</v>
      </c>
      <c r="L192" s="89">
        <f t="shared" si="49"/>
        <v>0</v>
      </c>
      <c r="M192" s="89">
        <f t="shared" si="49"/>
        <v>0</v>
      </c>
      <c r="N192" s="89">
        <f t="shared" si="49"/>
        <v>855.98178141375979</v>
      </c>
      <c r="O192" s="89">
        <f t="shared" si="49"/>
        <v>43.033234570262849</v>
      </c>
      <c r="P192" s="89">
        <f t="shared" si="49"/>
        <v>395.53358396141232</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35">
      <c r="C193" s="32"/>
      <c r="J193" s="63"/>
      <c r="K193" s="63"/>
      <c r="L193" s="63"/>
      <c r="M193" s="63"/>
      <c r="N193" s="63"/>
      <c r="O193" s="63"/>
      <c r="P193" s="63"/>
      <c r="Q193" s="63"/>
      <c r="R193" s="63"/>
      <c r="S193" s="63"/>
      <c r="T193" s="63"/>
      <c r="U193" s="63"/>
      <c r="V193" s="63"/>
      <c r="W193" s="63"/>
      <c r="X193" s="63"/>
      <c r="Y193" s="63"/>
      <c r="AQ193" s="3"/>
    </row>
    <row r="194" spans="3:43" x14ac:dyDescent="0.3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35">
      <c r="C195" s="32"/>
      <c r="J195" s="63"/>
      <c r="K195" s="63"/>
      <c r="L195" s="63"/>
      <c r="M195" s="63"/>
      <c r="N195" s="63"/>
      <c r="O195" s="63"/>
      <c r="P195" s="63"/>
      <c r="Q195" s="63"/>
      <c r="R195" s="63"/>
      <c r="S195" s="63"/>
      <c r="T195" s="63"/>
      <c r="U195" s="63"/>
      <c r="V195" s="63"/>
      <c r="W195" s="63"/>
      <c r="X195" s="63"/>
      <c r="Y195" s="63"/>
      <c r="AQ195" s="3"/>
    </row>
    <row r="196" spans="3:43" x14ac:dyDescent="0.35">
      <c r="C196" s="32"/>
      <c r="D196" s="29" t="s">
        <v>529</v>
      </c>
      <c r="J196" s="63"/>
      <c r="K196" s="63"/>
      <c r="L196" s="63"/>
      <c r="M196" s="63"/>
      <c r="N196" s="63"/>
      <c r="O196" s="63"/>
      <c r="P196" s="63"/>
      <c r="Q196" s="63"/>
      <c r="R196" s="63"/>
      <c r="S196" s="63"/>
      <c r="T196" s="63"/>
      <c r="U196" s="63"/>
      <c r="V196" s="63"/>
      <c r="W196" s="63"/>
      <c r="X196" s="63"/>
      <c r="Y196" s="63"/>
      <c r="AQ196" s="3"/>
    </row>
    <row r="197" spans="3:43" x14ac:dyDescent="0.35">
      <c r="D197" s="32"/>
      <c r="J197" s="63"/>
      <c r="K197" s="63"/>
      <c r="L197" s="63"/>
      <c r="M197" s="63"/>
      <c r="N197" s="63"/>
      <c r="O197" s="63"/>
      <c r="P197" s="63"/>
      <c r="Q197" s="63"/>
      <c r="R197" s="63"/>
      <c r="S197" s="63"/>
      <c r="T197" s="63"/>
      <c r="U197" s="63"/>
      <c r="V197" s="63"/>
      <c r="W197" s="63"/>
      <c r="X197" s="63"/>
      <c r="Y197" s="63"/>
      <c r="AQ197" s="3"/>
    </row>
    <row r="198" spans="3:43" x14ac:dyDescent="0.35">
      <c r="E198" t="s">
        <v>221</v>
      </c>
      <c r="G198" t="s">
        <v>209</v>
      </c>
      <c r="H198" s="166"/>
      <c r="I198" t="s">
        <v>154</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530</v>
      </c>
    </row>
    <row r="199" spans="3:43" x14ac:dyDescent="0.35">
      <c r="D199" s="32"/>
      <c r="H199" s="170"/>
      <c r="J199" s="63"/>
      <c r="L199" s="63"/>
      <c r="AQ199" s="3"/>
    </row>
    <row r="200" spans="3:43" x14ac:dyDescent="0.35">
      <c r="C200" s="32"/>
      <c r="E200" t="s">
        <v>531</v>
      </c>
      <c r="G200" t="s">
        <v>172</v>
      </c>
      <c r="H200" s="63"/>
      <c r="I200" t="s">
        <v>154</v>
      </c>
      <c r="J200" s="121">
        <f t="shared" ref="J200:Q200" si="50">IF(J61 = 0, 0, J59 / (hours_in_year * J61))</f>
        <v>681.04547108150587</v>
      </c>
      <c r="K200" s="121">
        <f t="shared" si="50"/>
        <v>253.03646424176199</v>
      </c>
      <c r="L200" s="121">
        <f t="shared" si="50"/>
        <v>272.37396367434974</v>
      </c>
      <c r="M200" s="121">
        <f t="shared" si="50"/>
        <v>12.336036782505307</v>
      </c>
      <c r="N200" s="121">
        <f t="shared" si="50"/>
        <v>280.47476048123718</v>
      </c>
      <c r="O200" s="121">
        <f t="shared" si="50"/>
        <v>18.585817515469756</v>
      </c>
      <c r="P200" s="121">
        <f t="shared" si="50"/>
        <v>129.38833425301416</v>
      </c>
      <c r="Q200" s="121">
        <f t="shared" si="50"/>
        <v>22.87438501842605</v>
      </c>
      <c r="R200" s="77"/>
      <c r="S200" s="77"/>
      <c r="T200" s="77"/>
      <c r="U200" s="77"/>
      <c r="V200" s="77"/>
      <c r="W200" s="77"/>
      <c r="X200" s="77"/>
      <c r="Y200" s="77"/>
      <c r="AA200" t="s">
        <v>530</v>
      </c>
      <c r="AQ200" s="3"/>
    </row>
    <row r="201" spans="3:43" x14ac:dyDescent="0.35">
      <c r="C201" s="32"/>
      <c r="H201" s="63"/>
      <c r="J201" s="89"/>
      <c r="K201" s="89"/>
      <c r="L201" s="89"/>
      <c r="M201" s="89"/>
      <c r="N201" s="89"/>
      <c r="O201" s="89"/>
      <c r="P201" s="89"/>
      <c r="Q201" s="89"/>
      <c r="R201" s="63"/>
      <c r="S201" s="63"/>
      <c r="T201" s="63"/>
      <c r="U201" s="63"/>
      <c r="V201" s="63"/>
      <c r="W201" s="63"/>
      <c r="X201" s="63"/>
      <c r="Y201" s="63"/>
      <c r="AQ201" s="3"/>
    </row>
    <row r="202" spans="3:43" x14ac:dyDescent="0.35">
      <c r="E202" t="s">
        <v>532</v>
      </c>
      <c r="G202" t="s">
        <v>172</v>
      </c>
      <c r="H202" s="63"/>
      <c r="I202" t="s">
        <v>154</v>
      </c>
      <c r="J202" s="89">
        <f t="shared" ref="J202:Y202" si="51">J192 * J42 / $H53</f>
        <v>0</v>
      </c>
      <c r="K202" s="89">
        <f t="shared" si="51"/>
        <v>0</v>
      </c>
      <c r="L202" s="89">
        <f t="shared" si="51"/>
        <v>0</v>
      </c>
      <c r="M202" s="89">
        <f t="shared" si="51"/>
        <v>0</v>
      </c>
      <c r="N202" s="89">
        <f t="shared" si="51"/>
        <v>855.98178141375979</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530</v>
      </c>
    </row>
    <row r="203" spans="3:43" x14ac:dyDescent="0.35">
      <c r="H203" s="63"/>
      <c r="J203" s="89"/>
      <c r="K203" s="89"/>
      <c r="L203" s="89"/>
      <c r="M203" s="89"/>
      <c r="N203" s="89"/>
      <c r="O203" s="89"/>
      <c r="P203" s="89"/>
      <c r="Q203" s="89"/>
      <c r="R203" s="89"/>
      <c r="S203" s="89"/>
      <c r="T203" s="89"/>
      <c r="U203" s="89"/>
      <c r="V203" s="89"/>
      <c r="W203" s="89"/>
      <c r="X203" s="89"/>
      <c r="Y203" s="89"/>
    </row>
    <row r="204" spans="3:43" x14ac:dyDescent="0.35">
      <c r="E204" t="s">
        <v>533</v>
      </c>
      <c r="G204" t="s">
        <v>172</v>
      </c>
      <c r="H204" s="63"/>
      <c r="J204" s="89">
        <f t="shared" ref="J204:Y204" si="52">IF(J198, J$200 * J42 / $H53, 0)</f>
        <v>681.04547108150587</v>
      </c>
      <c r="K204" s="89">
        <f t="shared" si="52"/>
        <v>0</v>
      </c>
      <c r="L204" s="89">
        <f t="shared" si="52"/>
        <v>272.37396367434974</v>
      </c>
      <c r="M204" s="89">
        <f t="shared" si="52"/>
        <v>0</v>
      </c>
      <c r="N204" s="89">
        <f t="shared" si="52"/>
        <v>280.47476048123718</v>
      </c>
      <c r="O204" s="89">
        <f t="shared" si="52"/>
        <v>0</v>
      </c>
      <c r="P204" s="89">
        <f t="shared" si="52"/>
        <v>0</v>
      </c>
      <c r="Q204" s="89">
        <f t="shared" si="52"/>
        <v>22.87438501842605</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35">
      <c r="H205" s="63"/>
      <c r="J205" s="89"/>
      <c r="K205" s="89"/>
      <c r="L205" s="89"/>
      <c r="M205" s="89"/>
      <c r="N205" s="89"/>
      <c r="O205" s="89"/>
      <c r="P205" s="89"/>
      <c r="Q205" s="89"/>
      <c r="R205" s="89"/>
      <c r="S205" s="89"/>
      <c r="T205" s="89"/>
      <c r="U205" s="89"/>
      <c r="V205" s="89"/>
      <c r="W205" s="89"/>
      <c r="X205" s="89"/>
      <c r="Y205" s="89"/>
    </row>
    <row r="206" spans="3:43" x14ac:dyDescent="0.35">
      <c r="E206" t="s">
        <v>534</v>
      </c>
      <c r="G206" t="s">
        <v>172</v>
      </c>
      <c r="H206" s="63"/>
      <c r="J206" s="89">
        <f t="shared" ref="J206:Y206" si="53">IF(J202 = 0, J204, J202)</f>
        <v>681.04547108150587</v>
      </c>
      <c r="K206" s="89">
        <f t="shared" si="53"/>
        <v>0</v>
      </c>
      <c r="L206" s="89">
        <f t="shared" si="53"/>
        <v>272.37396367434974</v>
      </c>
      <c r="M206" s="89">
        <f t="shared" si="53"/>
        <v>0</v>
      </c>
      <c r="N206" s="89">
        <f t="shared" si="53"/>
        <v>855.98178141375979</v>
      </c>
      <c r="O206" s="89">
        <f t="shared" si="53"/>
        <v>0</v>
      </c>
      <c r="P206" s="89">
        <f t="shared" si="53"/>
        <v>0</v>
      </c>
      <c r="Q206" s="89">
        <f t="shared" si="53"/>
        <v>22.87438501842605</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35">
      <c r="H207" s="63"/>
      <c r="J207" s="89"/>
      <c r="K207" s="89"/>
      <c r="L207" s="89"/>
      <c r="M207" s="89"/>
      <c r="N207" s="89"/>
      <c r="O207" s="89"/>
      <c r="P207" s="89"/>
      <c r="Q207" s="89"/>
      <c r="R207" s="89"/>
      <c r="S207" s="89"/>
      <c r="T207" s="89"/>
      <c r="U207" s="89"/>
      <c r="V207" s="89"/>
      <c r="W207" s="89"/>
      <c r="X207" s="89"/>
      <c r="Y207" s="89"/>
    </row>
    <row r="208" spans="3:43" x14ac:dyDescent="0.35">
      <c r="E208" t="s">
        <v>535</v>
      </c>
      <c r="G208" t="s">
        <v>172</v>
      </c>
      <c r="H208" s="63"/>
      <c r="I208" t="s">
        <v>154</v>
      </c>
      <c r="J208" s="89">
        <f t="shared" ref="J208:Y208" si="54">J150</f>
        <v>452.57219244494797</v>
      </c>
      <c r="K208" s="89">
        <f t="shared" si="54"/>
        <v>39.41300443244414</v>
      </c>
      <c r="L208" s="89">
        <f t="shared" si="54"/>
        <v>193.68461861163362</v>
      </c>
      <c r="M208" s="89">
        <f t="shared" si="54"/>
        <v>2.7518788831059524</v>
      </c>
      <c r="N208" s="89">
        <f t="shared" si="54"/>
        <v>223.80864572060392</v>
      </c>
      <c r="O208" s="89">
        <f t="shared" si="54"/>
        <v>0</v>
      </c>
      <c r="P208" s="89">
        <f t="shared" si="54"/>
        <v>0</v>
      </c>
      <c r="Q208" s="89">
        <f t="shared" si="54"/>
        <v>10.196813142585828</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530</v>
      </c>
    </row>
    <row r="209" spans="5:43" x14ac:dyDescent="0.35">
      <c r="H209" s="63"/>
      <c r="J209" s="63"/>
      <c r="K209" s="63"/>
      <c r="L209" s="63"/>
      <c r="M209" s="63"/>
      <c r="N209" s="63"/>
      <c r="O209" s="63"/>
      <c r="P209" s="63"/>
      <c r="Q209" s="63"/>
      <c r="R209" s="63"/>
      <c r="S209" s="63"/>
      <c r="T209" s="63"/>
      <c r="U209" s="63"/>
      <c r="V209" s="63"/>
      <c r="W209" s="63"/>
      <c r="X209" s="63"/>
      <c r="Y209" s="63"/>
    </row>
    <row r="210" spans="5:43" x14ac:dyDescent="0.35">
      <c r="E210" t="s">
        <v>536</v>
      </c>
      <c r="G210" t="s">
        <v>167</v>
      </c>
      <c r="H210" s="171">
        <f>SUM(J206:Y206) / SUM(J208:Y208) - 1</f>
        <v>0.98636347028761806</v>
      </c>
      <c r="J210" s="63"/>
      <c r="K210" s="63"/>
      <c r="L210" s="63"/>
      <c r="M210" s="63"/>
      <c r="N210" s="63"/>
      <c r="O210" s="63"/>
      <c r="P210" s="63"/>
      <c r="Q210" s="63"/>
      <c r="R210" s="63"/>
      <c r="S210" s="63"/>
      <c r="T210" s="63"/>
      <c r="U210" s="63"/>
      <c r="V210" s="63"/>
      <c r="W210" s="63"/>
      <c r="X210" s="63"/>
      <c r="Y210" s="63"/>
    </row>
    <row r="211" spans="5:43" x14ac:dyDescent="0.35">
      <c r="H211" s="166"/>
    </row>
    <row r="212" spans="5:43" x14ac:dyDescent="0.35">
      <c r="E212" s="32" t="s">
        <v>390</v>
      </c>
      <c r="J212" s="63"/>
      <c r="L212" s="63"/>
      <c r="AA212" t="s">
        <v>530</v>
      </c>
      <c r="AQ212" s="3"/>
    </row>
    <row r="213" spans="5:43" x14ac:dyDescent="0.35">
      <c r="E213" s="29" t="s">
        <v>537</v>
      </c>
      <c r="F213" s="29"/>
      <c r="J213" s="63"/>
      <c r="L213" s="63"/>
      <c r="AQ213" s="3"/>
    </row>
    <row r="214" spans="5:43" x14ac:dyDescent="0.35">
      <c r="E214" s="32"/>
      <c r="F214" s="23" t="s">
        <v>191</v>
      </c>
      <c r="G214" s="23" t="s">
        <v>167</v>
      </c>
      <c r="H214" s="107">
        <f t="array" ref="H214:H222">TRANSPOSE('Load &amp; loss characteristics'!K23:S23)</f>
        <v>6.800000000000006E-2</v>
      </c>
      <c r="J214" s="63"/>
      <c r="K214" s="84"/>
      <c r="L214" s="63"/>
      <c r="M214" s="84"/>
      <c r="AQ214" s="3"/>
    </row>
    <row r="215" spans="5:43" x14ac:dyDescent="0.35">
      <c r="E215" s="32"/>
      <c r="F215" t="s">
        <v>192</v>
      </c>
      <c r="G215" t="s">
        <v>167</v>
      </c>
      <c r="H215" s="25">
        <v>6.800000000000006E-2</v>
      </c>
      <c r="J215" s="63"/>
      <c r="L215" s="63"/>
      <c r="AQ215" s="3"/>
    </row>
    <row r="216" spans="5:43" x14ac:dyDescent="0.35">
      <c r="E216" s="32"/>
      <c r="F216" t="s">
        <v>193</v>
      </c>
      <c r="G216" t="s">
        <v>167</v>
      </c>
      <c r="H216" s="25">
        <v>6.800000000000006E-2</v>
      </c>
      <c r="J216" s="63"/>
      <c r="L216" s="63"/>
      <c r="AQ216" s="3"/>
    </row>
    <row r="217" spans="5:43" x14ac:dyDescent="0.35">
      <c r="E217" s="32"/>
      <c r="F217" t="s">
        <v>194</v>
      </c>
      <c r="G217" t="s">
        <v>167</v>
      </c>
      <c r="H217" s="25">
        <v>0.14810000000000012</v>
      </c>
      <c r="J217" s="63"/>
      <c r="L217" s="63"/>
      <c r="AQ217" s="3"/>
    </row>
    <row r="218" spans="5:43" x14ac:dyDescent="0.35">
      <c r="E218" s="32"/>
      <c r="F218" t="s">
        <v>195</v>
      </c>
      <c r="G218" t="s">
        <v>167</v>
      </c>
      <c r="H218" s="25">
        <v>0.14810000000000012</v>
      </c>
      <c r="J218" s="63"/>
      <c r="L218" s="63"/>
      <c r="AQ218" s="3"/>
    </row>
    <row r="219" spans="5:43" x14ac:dyDescent="0.35">
      <c r="E219" s="32"/>
      <c r="F219" t="s">
        <v>196</v>
      </c>
      <c r="G219" t="s">
        <v>167</v>
      </c>
      <c r="H219" s="25">
        <v>6.800000000000006E-2</v>
      </c>
      <c r="J219" s="63"/>
      <c r="L219" s="63"/>
      <c r="AQ219" s="3"/>
    </row>
    <row r="220" spans="5:43" x14ac:dyDescent="0.35">
      <c r="E220" s="32"/>
      <c r="F220" t="s">
        <v>197</v>
      </c>
      <c r="G220" t="s">
        <v>167</v>
      </c>
      <c r="H220" s="25">
        <v>0.84958910000000021</v>
      </c>
      <c r="J220" s="63"/>
      <c r="L220" s="63"/>
      <c r="AQ220" s="3"/>
    </row>
    <row r="221" spans="5:43" x14ac:dyDescent="0.35">
      <c r="E221" s="32"/>
      <c r="F221" t="s">
        <v>198</v>
      </c>
      <c r="G221" t="s">
        <v>167</v>
      </c>
      <c r="H221" s="25">
        <v>0.84958910000000021</v>
      </c>
      <c r="J221" s="63"/>
      <c r="L221" s="63"/>
      <c r="AQ221" s="3"/>
    </row>
    <row r="222" spans="5:43" x14ac:dyDescent="0.35">
      <c r="E222" s="32"/>
      <c r="F222" s="37" t="s">
        <v>199</v>
      </c>
      <c r="G222" s="37" t="s">
        <v>167</v>
      </c>
      <c r="H222" s="141">
        <v>0.84958910000000021</v>
      </c>
      <c r="J222" s="63"/>
      <c r="L222" s="63"/>
      <c r="AQ222" s="3"/>
    </row>
    <row r="223" spans="5:43" x14ac:dyDescent="0.35">
      <c r="H223" s="166"/>
    </row>
    <row r="224" spans="5:43" x14ac:dyDescent="0.35">
      <c r="E224" s="32" t="s">
        <v>538</v>
      </c>
      <c r="J224" s="63"/>
      <c r="L224" s="63"/>
      <c r="AA224" t="s">
        <v>530</v>
      </c>
      <c r="AQ224" s="3"/>
    </row>
    <row r="225" spans="3:43" x14ac:dyDescent="0.35">
      <c r="E225" s="29" t="s">
        <v>539</v>
      </c>
      <c r="F225" s="29"/>
      <c r="J225" s="63"/>
      <c r="L225" s="63"/>
      <c r="AQ225" s="3"/>
    </row>
    <row r="226" spans="3:43" x14ac:dyDescent="0.35">
      <c r="C226" s="32"/>
      <c r="F226" s="23" t="s">
        <v>191</v>
      </c>
      <c r="G226" s="23" t="s">
        <v>167</v>
      </c>
      <c r="H226" s="172">
        <f t="shared" ref="H226:H233" si="55">IF(F226 = $F$234, $H$210, H214)</f>
        <v>6.800000000000006E-2</v>
      </c>
      <c r="J226" s="63"/>
      <c r="L226" s="63"/>
      <c r="AQ226" s="3"/>
    </row>
    <row r="227" spans="3:43" x14ac:dyDescent="0.35">
      <c r="C227" s="32"/>
      <c r="F227" t="s">
        <v>192</v>
      </c>
      <c r="G227" t="s">
        <v>167</v>
      </c>
      <c r="H227" s="111">
        <f t="shared" si="55"/>
        <v>6.800000000000006E-2</v>
      </c>
      <c r="J227" s="63"/>
      <c r="L227" s="63"/>
      <c r="AQ227" s="3"/>
    </row>
    <row r="228" spans="3:43" x14ac:dyDescent="0.35">
      <c r="C228" s="32"/>
      <c r="F228" t="s">
        <v>193</v>
      </c>
      <c r="G228" t="s">
        <v>167</v>
      </c>
      <c r="H228" s="111">
        <f t="shared" si="55"/>
        <v>6.800000000000006E-2</v>
      </c>
      <c r="J228" s="63"/>
      <c r="L228" s="63"/>
      <c r="AQ228" s="3"/>
    </row>
    <row r="229" spans="3:43" x14ac:dyDescent="0.35">
      <c r="C229" s="32"/>
      <c r="F229" t="s">
        <v>194</v>
      </c>
      <c r="G229" t="s">
        <v>167</v>
      </c>
      <c r="H229" s="111">
        <f t="shared" si="55"/>
        <v>0.14810000000000012</v>
      </c>
      <c r="J229" s="63"/>
      <c r="L229" s="63"/>
      <c r="AQ229" s="3"/>
    </row>
    <row r="230" spans="3:43" x14ac:dyDescent="0.35">
      <c r="C230" s="32"/>
      <c r="F230" t="s">
        <v>195</v>
      </c>
      <c r="G230" t="s">
        <v>167</v>
      </c>
      <c r="H230" s="111">
        <f t="shared" si="55"/>
        <v>0.14810000000000012</v>
      </c>
      <c r="J230" s="63"/>
      <c r="L230" s="63"/>
      <c r="AQ230" s="3"/>
    </row>
    <row r="231" spans="3:43" x14ac:dyDescent="0.35">
      <c r="C231" s="32"/>
      <c r="F231" t="s">
        <v>196</v>
      </c>
      <c r="G231" t="s">
        <v>167</v>
      </c>
      <c r="H231" s="111">
        <f t="shared" si="55"/>
        <v>6.800000000000006E-2</v>
      </c>
      <c r="J231" s="63"/>
      <c r="L231" s="63"/>
      <c r="AQ231" s="3"/>
    </row>
    <row r="232" spans="3:43" x14ac:dyDescent="0.35">
      <c r="C232" s="32"/>
      <c r="F232" t="s">
        <v>197</v>
      </c>
      <c r="G232" t="s">
        <v>167</v>
      </c>
      <c r="H232" s="111">
        <f t="shared" si="55"/>
        <v>0.84958910000000021</v>
      </c>
      <c r="J232" s="63"/>
      <c r="L232" s="63"/>
      <c r="AQ232" s="3"/>
    </row>
    <row r="233" spans="3:43" x14ac:dyDescent="0.35">
      <c r="C233" s="32"/>
      <c r="F233" t="s">
        <v>198</v>
      </c>
      <c r="G233" t="s">
        <v>167</v>
      </c>
      <c r="H233" s="111">
        <f t="shared" si="55"/>
        <v>0.84958910000000021</v>
      </c>
      <c r="J233" s="63"/>
      <c r="L233" s="63"/>
      <c r="AQ233" s="3"/>
    </row>
    <row r="234" spans="3:43" x14ac:dyDescent="0.35">
      <c r="C234" s="32"/>
      <c r="F234" s="37" t="s">
        <v>199</v>
      </c>
      <c r="G234" s="37" t="s">
        <v>167</v>
      </c>
      <c r="H234" s="143">
        <f>IF(F234 = $F$234, $H$210, H222)</f>
        <v>0.98636347028761806</v>
      </c>
      <c r="J234" s="63"/>
      <c r="L234" s="63"/>
      <c r="AQ234" s="3"/>
    </row>
    <row r="235" spans="3:43" x14ac:dyDescent="0.35">
      <c r="H235" s="166"/>
    </row>
    <row r="236" spans="3:43" x14ac:dyDescent="0.3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35">
      <c r="H237" s="166"/>
    </row>
    <row r="238" spans="3:43" x14ac:dyDescent="0.35">
      <c r="E238" s="32" t="s">
        <v>540</v>
      </c>
      <c r="F238" s="29"/>
      <c r="H238" s="173"/>
    </row>
    <row r="239" spans="3:43" x14ac:dyDescent="0.35">
      <c r="C239" s="32"/>
      <c r="F239" s="23" t="s">
        <v>191</v>
      </c>
      <c r="G239" s="23" t="s">
        <v>172</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35">
      <c r="C240" s="32"/>
      <c r="F240" t="s">
        <v>192</v>
      </c>
      <c r="G240" t="s">
        <v>172</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35">
      <c r="C241" s="32"/>
      <c r="F241" t="s">
        <v>193</v>
      </c>
      <c r="G241" t="s">
        <v>172</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35">
      <c r="C242" s="32"/>
      <c r="F242" t="s">
        <v>194</v>
      </c>
      <c r="G242" t="s">
        <v>172</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70.395736553043008</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35">
      <c r="C243" s="32"/>
      <c r="F243" t="s">
        <v>195</v>
      </c>
      <c r="G243" t="s">
        <v>172</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347.52759047343699</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35">
      <c r="C244" s="32"/>
      <c r="F244" t="s">
        <v>196</v>
      </c>
      <c r="G244" t="s">
        <v>172</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35">
      <c r="C245" s="32"/>
      <c r="F245" t="s">
        <v>197</v>
      </c>
      <c r="G245" t="s">
        <v>172</v>
      </c>
      <c r="H245" s="63"/>
      <c r="J245" s="89">
        <f t="shared" ref="J245:Y245" si="62">J$192 * J29 * J40 / (1 + $H232) / $H51</f>
        <v>0</v>
      </c>
      <c r="K245" s="89">
        <f t="shared" si="62"/>
        <v>0</v>
      </c>
      <c r="L245" s="89">
        <f t="shared" si="62"/>
        <v>0</v>
      </c>
      <c r="M245" s="89">
        <f t="shared" si="62"/>
        <v>0</v>
      </c>
      <c r="N245" s="89">
        <f t="shared" si="62"/>
        <v>98.093040383100259</v>
      </c>
      <c r="O245" s="89">
        <f t="shared" si="62"/>
        <v>23.804845162568029</v>
      </c>
      <c r="P245" s="89">
        <f t="shared" si="62"/>
        <v>213.8494349698602</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35">
      <c r="C246" s="32"/>
      <c r="F246" t="s">
        <v>198</v>
      </c>
      <c r="G246" t="s">
        <v>172</v>
      </c>
      <c r="H246" s="63"/>
      <c r="J246" s="89">
        <f t="shared" ref="J246:Y246" si="63">J$192 * J30 * J41 / (1 + $H233) / $H52</f>
        <v>0</v>
      </c>
      <c r="K246" s="89">
        <f t="shared" si="63"/>
        <v>0</v>
      </c>
      <c r="L246" s="89">
        <f t="shared" si="63"/>
        <v>0</v>
      </c>
      <c r="M246" s="89">
        <f t="shared" si="63"/>
        <v>0</v>
      </c>
      <c r="N246" s="89">
        <f t="shared" si="63"/>
        <v>479.37079584012702</v>
      </c>
      <c r="O246" s="89">
        <f t="shared" si="63"/>
        <v>23.266375526468469</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35">
      <c r="C247" s="32"/>
      <c r="F247" s="37" t="s">
        <v>199</v>
      </c>
      <c r="G247" s="37" t="s">
        <v>172</v>
      </c>
      <c r="H247" s="130"/>
      <c r="I247" s="37"/>
      <c r="J247" s="82">
        <f t="shared" ref="J247:Y247" si="64">J$192 * J31 * J42 / (1 + $H234) / $H53</f>
        <v>0</v>
      </c>
      <c r="K247" s="82">
        <f t="shared" si="64"/>
        <v>0</v>
      </c>
      <c r="L247" s="82">
        <f t="shared" si="64"/>
        <v>0</v>
      </c>
      <c r="M247" s="82">
        <f t="shared" si="64"/>
        <v>0</v>
      </c>
      <c r="N247" s="82">
        <f t="shared" si="64"/>
        <v>430.92907930380778</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35">
      <c r="H248" s="166"/>
      <c r="J248" s="89"/>
      <c r="K248" s="89"/>
      <c r="L248" s="89"/>
      <c r="M248" s="89"/>
      <c r="N248" s="89"/>
      <c r="O248" s="89"/>
      <c r="P248" s="89"/>
      <c r="Q248" s="89"/>
      <c r="R248" s="89"/>
      <c r="S248" s="89"/>
      <c r="T248" s="89"/>
      <c r="U248" s="89"/>
      <c r="V248" s="89"/>
      <c r="W248" s="89"/>
      <c r="X248" s="89"/>
      <c r="Y248" s="89"/>
    </row>
    <row r="249" spans="3:43" x14ac:dyDescent="0.3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35">
      <c r="H250" s="166"/>
      <c r="J250" s="89"/>
      <c r="K250" s="89"/>
      <c r="L250" s="89"/>
      <c r="M250" s="89"/>
      <c r="N250" s="89"/>
      <c r="O250" s="89"/>
      <c r="P250" s="89"/>
      <c r="Q250" s="89"/>
      <c r="R250" s="89"/>
      <c r="S250" s="89"/>
      <c r="T250" s="89"/>
      <c r="U250" s="89"/>
      <c r="V250" s="89"/>
      <c r="W250" s="89"/>
      <c r="X250" s="89"/>
      <c r="Y250" s="89"/>
    </row>
    <row r="251" spans="3:43" x14ac:dyDescent="0.35">
      <c r="E251" s="32" t="s">
        <v>541</v>
      </c>
      <c r="F251" s="29"/>
      <c r="H251" s="166"/>
      <c r="J251" s="89"/>
      <c r="K251" s="89"/>
      <c r="L251" s="89"/>
      <c r="M251" s="89"/>
      <c r="N251" s="89"/>
      <c r="O251" s="89"/>
      <c r="P251" s="89"/>
      <c r="Q251" s="89"/>
      <c r="R251" s="89"/>
      <c r="S251" s="89"/>
      <c r="T251" s="89"/>
      <c r="U251" s="89"/>
      <c r="V251" s="89"/>
      <c r="W251" s="89"/>
      <c r="X251" s="89"/>
      <c r="Y251" s="89"/>
    </row>
    <row r="252" spans="3:43" x14ac:dyDescent="0.35">
      <c r="C252" s="32"/>
      <c r="F252" s="23" t="s">
        <v>191</v>
      </c>
      <c r="G252" s="129" t="s">
        <v>172</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35">
      <c r="C253" s="32"/>
      <c r="F253" t="s">
        <v>192</v>
      </c>
      <c r="G253" s="63" t="s">
        <v>172</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35">
      <c r="C254" s="32"/>
      <c r="F254" t="s">
        <v>193</v>
      </c>
      <c r="G254" s="63" t="s">
        <v>172</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35">
      <c r="C255" s="32"/>
      <c r="F255" t="s">
        <v>194</v>
      </c>
      <c r="G255" s="63" t="s">
        <v>172</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35">
      <c r="C256" s="32"/>
      <c r="F256" t="s">
        <v>195</v>
      </c>
      <c r="G256" s="63" t="s">
        <v>172</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35">
      <c r="C257" s="32"/>
      <c r="F257" t="s">
        <v>196</v>
      </c>
      <c r="G257" s="63" t="s">
        <v>172</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35">
      <c r="C258" s="32"/>
      <c r="F258" t="s">
        <v>197</v>
      </c>
      <c r="G258" s="63" t="s">
        <v>172</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35">
      <c r="C259" s="32"/>
      <c r="F259" t="s">
        <v>198</v>
      </c>
      <c r="G259" s="63" t="s">
        <v>172</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35">
      <c r="C260" s="32"/>
      <c r="F260" s="37" t="s">
        <v>199</v>
      </c>
      <c r="G260" s="130" t="s">
        <v>172</v>
      </c>
      <c r="H260" s="130"/>
      <c r="I260" s="37"/>
      <c r="J260" s="82">
        <f t="shared" ref="J260:Y260" si="73">IF(AND(J$192 = 0, J$198), J$200 * J31 * J42 / (1 + $H234) / $H53, 0)</f>
        <v>342.86044888999749</v>
      </c>
      <c r="K260" s="82">
        <f t="shared" si="73"/>
        <v>0</v>
      </c>
      <c r="L260" s="82">
        <f t="shared" si="73"/>
        <v>137.12191537378149</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35">
      <c r="H261" s="166"/>
    </row>
    <row r="262" spans="2:43" x14ac:dyDescent="0.35">
      <c r="B262" s="30" t="s">
        <v>542</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35">
      <c r="H263" s="166"/>
      <c r="J263" s="63"/>
      <c r="K263" s="63"/>
      <c r="L263" s="63"/>
      <c r="M263" s="63"/>
      <c r="N263" s="63"/>
      <c r="O263" s="63"/>
      <c r="P263" s="63"/>
      <c r="Q263" s="63"/>
      <c r="R263" s="63"/>
      <c r="S263" s="63"/>
      <c r="T263" s="63"/>
      <c r="U263" s="63"/>
      <c r="V263" s="63"/>
      <c r="W263" s="63"/>
      <c r="X263" s="63"/>
      <c r="Y263" s="63"/>
    </row>
    <row r="264" spans="2:43" x14ac:dyDescent="0.35">
      <c r="C264" s="29" t="s">
        <v>543</v>
      </c>
      <c r="H264" s="166"/>
      <c r="J264" s="63"/>
      <c r="K264" s="63"/>
      <c r="L264" s="63"/>
      <c r="M264" s="63"/>
      <c r="N264" s="63"/>
      <c r="O264" s="63"/>
      <c r="P264" s="63"/>
      <c r="Q264" s="63"/>
      <c r="R264" s="63"/>
      <c r="S264" s="63"/>
      <c r="T264" s="63"/>
      <c r="U264" s="63"/>
      <c r="V264" s="63"/>
      <c r="W264" s="63"/>
      <c r="X264" s="63"/>
      <c r="Y264" s="63"/>
    </row>
    <row r="265" spans="2:43" x14ac:dyDescent="0.35">
      <c r="H265" s="166"/>
      <c r="J265" s="63"/>
      <c r="K265" s="63"/>
      <c r="L265" s="63"/>
      <c r="M265" s="63"/>
      <c r="N265" s="63"/>
      <c r="O265" s="63"/>
      <c r="P265" s="63"/>
      <c r="Q265" s="63"/>
      <c r="R265" s="63"/>
      <c r="S265" s="63"/>
      <c r="T265" s="63"/>
      <c r="U265" s="63"/>
      <c r="V265" s="63"/>
      <c r="W265" s="63"/>
      <c r="X265" s="63"/>
      <c r="Y265" s="63"/>
    </row>
    <row r="266" spans="2:43" x14ac:dyDescent="0.3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35">
      <c r="H267" s="166"/>
    </row>
    <row r="268" spans="2:43" x14ac:dyDescent="0.35">
      <c r="E268" s="32" t="s">
        <v>544</v>
      </c>
      <c r="F268" s="29"/>
      <c r="H268" s="173" t="s">
        <v>545</v>
      </c>
      <c r="J268" s="63"/>
      <c r="K268" s="63"/>
      <c r="L268" s="63"/>
      <c r="M268" s="63"/>
      <c r="N268" s="63"/>
      <c r="O268" s="63"/>
      <c r="P268" s="63"/>
      <c r="Q268" s="63"/>
      <c r="R268" s="63"/>
      <c r="S268" s="63"/>
      <c r="T268" s="63"/>
      <c r="U268" s="63"/>
      <c r="V268" s="63"/>
      <c r="W268" s="63"/>
      <c r="X268" s="63"/>
      <c r="Y268" s="63"/>
    </row>
    <row r="269" spans="2:43" x14ac:dyDescent="0.35">
      <c r="C269" s="32"/>
      <c r="F269" s="23" t="s">
        <v>191</v>
      </c>
      <c r="G269" s="23" t="s">
        <v>172</v>
      </c>
      <c r="H269" s="101">
        <f t="shared" ref="H269:H277" si="74">SUM(J269:Y269)</f>
        <v>881.56771074328503</v>
      </c>
      <c r="I269" s="158"/>
      <c r="J269" s="158">
        <f t="shared" ref="J269:Y269" si="75">J239 + J252 + J168</f>
        <v>504.93445095817833</v>
      </c>
      <c r="K269" s="158">
        <f t="shared" si="75"/>
        <v>40.451408064689311</v>
      </c>
      <c r="L269" s="158">
        <f t="shared" si="75"/>
        <v>210.47414011454148</v>
      </c>
      <c r="M269" s="158">
        <f t="shared" si="75"/>
        <v>2.8096415175415714</v>
      </c>
      <c r="N269" s="158">
        <f t="shared" si="75"/>
        <v>244.25212749059119</v>
      </c>
      <c r="O269" s="158">
        <f t="shared" si="75"/>
        <v>16.00316667222879</v>
      </c>
      <c r="P269" s="158">
        <f t="shared" si="75"/>
        <v>109.46224583757555</v>
      </c>
      <c r="Q269" s="158">
        <f t="shared" si="75"/>
        <v>12.367074508544608</v>
      </c>
      <c r="R269" s="158">
        <f t="shared" si="75"/>
        <v>-0.89270165696750936</v>
      </c>
      <c r="S269" s="158">
        <f t="shared" si="75"/>
        <v>-2.9611396208011509E-4</v>
      </c>
      <c r="T269" s="158">
        <f t="shared" si="75"/>
        <v>-51.793991316819969</v>
      </c>
      <c r="U269" s="158">
        <f t="shared" si="75"/>
        <v>0</v>
      </c>
      <c r="V269" s="158">
        <f t="shared" si="75"/>
        <v>-0.42594340632000494</v>
      </c>
      <c r="W269" s="158">
        <f t="shared" si="75"/>
        <v>0</v>
      </c>
      <c r="X269" s="158">
        <f t="shared" si="75"/>
        <v>-206.0736119265361</v>
      </c>
      <c r="Y269" s="158">
        <f t="shared" si="75"/>
        <v>0</v>
      </c>
      <c r="AQ269" s="3"/>
    </row>
    <row r="270" spans="2:43" x14ac:dyDescent="0.35">
      <c r="C270" s="32"/>
      <c r="F270" t="s">
        <v>192</v>
      </c>
      <c r="G270" t="s">
        <v>172</v>
      </c>
      <c r="H270" s="121">
        <f t="shared" si="74"/>
        <v>0</v>
      </c>
      <c r="I270" s="89"/>
      <c r="J270" s="89">
        <f t="shared" ref="J270:Y270" si="76">J240 + J253 + J169</f>
        <v>0</v>
      </c>
      <c r="K270" s="89">
        <f t="shared" si="76"/>
        <v>0</v>
      </c>
      <c r="L270" s="89">
        <f t="shared" si="76"/>
        <v>0</v>
      </c>
      <c r="M270" s="89">
        <f t="shared" si="76"/>
        <v>0</v>
      </c>
      <c r="N270" s="89">
        <f t="shared" si="76"/>
        <v>0</v>
      </c>
      <c r="O270" s="89">
        <f t="shared" si="76"/>
        <v>0</v>
      </c>
      <c r="P270" s="89">
        <f t="shared" si="76"/>
        <v>0</v>
      </c>
      <c r="Q270" s="89">
        <f t="shared" si="76"/>
        <v>0</v>
      </c>
      <c r="R270" s="89">
        <f t="shared" si="76"/>
        <v>0</v>
      </c>
      <c r="S270" s="89">
        <f t="shared" si="76"/>
        <v>0</v>
      </c>
      <c r="T270" s="89">
        <f t="shared" si="76"/>
        <v>0</v>
      </c>
      <c r="U270" s="89">
        <f t="shared" si="76"/>
        <v>0</v>
      </c>
      <c r="V270" s="89">
        <f t="shared" si="76"/>
        <v>0</v>
      </c>
      <c r="W270" s="89">
        <f t="shared" si="76"/>
        <v>0</v>
      </c>
      <c r="X270" s="89">
        <f t="shared" si="76"/>
        <v>0</v>
      </c>
      <c r="Y270" s="89">
        <f t="shared" si="76"/>
        <v>0</v>
      </c>
      <c r="AQ270" s="3"/>
    </row>
    <row r="271" spans="2:43" x14ac:dyDescent="0.35">
      <c r="C271" s="32"/>
      <c r="F271" t="s">
        <v>193</v>
      </c>
      <c r="G271" t="s">
        <v>172</v>
      </c>
      <c r="H271" s="121">
        <f t="shared" si="74"/>
        <v>0</v>
      </c>
      <c r="I271" s="89"/>
      <c r="J271" s="89">
        <f t="shared" ref="J271:Y271" si="77">J241 + J254 + J170</f>
        <v>0</v>
      </c>
      <c r="K271" s="89">
        <f t="shared" si="77"/>
        <v>0</v>
      </c>
      <c r="L271" s="89">
        <f t="shared" si="77"/>
        <v>0</v>
      </c>
      <c r="M271" s="89">
        <f t="shared" si="77"/>
        <v>0</v>
      </c>
      <c r="N271" s="89">
        <f t="shared" si="77"/>
        <v>0</v>
      </c>
      <c r="O271" s="89">
        <f t="shared" si="77"/>
        <v>0</v>
      </c>
      <c r="P271" s="89">
        <f t="shared" si="77"/>
        <v>0</v>
      </c>
      <c r="Q271" s="89">
        <f t="shared" si="77"/>
        <v>0</v>
      </c>
      <c r="R271" s="89">
        <f t="shared" si="77"/>
        <v>0</v>
      </c>
      <c r="S271" s="89">
        <f t="shared" si="77"/>
        <v>0</v>
      </c>
      <c r="T271" s="89">
        <f t="shared" si="77"/>
        <v>0</v>
      </c>
      <c r="U271" s="89">
        <f t="shared" si="77"/>
        <v>0</v>
      </c>
      <c r="V271" s="89">
        <f t="shared" si="77"/>
        <v>0</v>
      </c>
      <c r="W271" s="89">
        <f t="shared" si="77"/>
        <v>0</v>
      </c>
      <c r="X271" s="89">
        <f t="shared" si="77"/>
        <v>0</v>
      </c>
      <c r="Y271" s="89">
        <f t="shared" si="77"/>
        <v>0</v>
      </c>
      <c r="AQ271" s="3"/>
    </row>
    <row r="272" spans="2:43" x14ac:dyDescent="0.35">
      <c r="C272" s="32"/>
      <c r="F272" t="s">
        <v>194</v>
      </c>
      <c r="G272" t="s">
        <v>172</v>
      </c>
      <c r="H272" s="121">
        <f t="shared" si="74"/>
        <v>924.560222477445</v>
      </c>
      <c r="I272" s="89"/>
      <c r="J272" s="89">
        <f t="shared" ref="J272:Y272" si="78">J242 + J255 + J171</f>
        <v>498.26228103194171</v>
      </c>
      <c r="K272" s="89">
        <f t="shared" si="78"/>
        <v>40.470058573148044</v>
      </c>
      <c r="L272" s="89">
        <f t="shared" si="78"/>
        <v>210.60918116934965</v>
      </c>
      <c r="M272" s="89">
        <f t="shared" si="78"/>
        <v>2.8027925375930596</v>
      </c>
      <c r="N272" s="89">
        <f t="shared" si="78"/>
        <v>243.21106645095668</v>
      </c>
      <c r="O272" s="89">
        <f t="shared" si="78"/>
        <v>15.831635238645848</v>
      </c>
      <c r="P272" s="89">
        <f t="shared" si="78"/>
        <v>157.2497104282902</v>
      </c>
      <c r="Q272" s="89">
        <f t="shared" si="78"/>
        <v>11.500391323228985</v>
      </c>
      <c r="R272" s="89">
        <f t="shared" si="78"/>
        <v>-0.89611339140007384</v>
      </c>
      <c r="S272" s="89">
        <f t="shared" si="78"/>
        <v>-3.0151325493346534E-4</v>
      </c>
      <c r="T272" s="89">
        <f t="shared" si="78"/>
        <v>-51.114669665865357</v>
      </c>
      <c r="U272" s="89">
        <f t="shared" si="78"/>
        <v>0</v>
      </c>
      <c r="V272" s="89">
        <f t="shared" si="78"/>
        <v>-0.42022527406683602</v>
      </c>
      <c r="W272" s="89">
        <f t="shared" si="78"/>
        <v>0</v>
      </c>
      <c r="X272" s="89">
        <f t="shared" si="78"/>
        <v>-202.94558443112192</v>
      </c>
      <c r="Y272" s="89">
        <f t="shared" si="78"/>
        <v>0</v>
      </c>
      <c r="AQ272" s="3"/>
    </row>
    <row r="273" spans="2:43" x14ac:dyDescent="0.35">
      <c r="C273" s="32"/>
      <c r="F273" t="s">
        <v>195</v>
      </c>
      <c r="G273" t="s">
        <v>172</v>
      </c>
      <c r="H273" s="121">
        <f t="shared" si="74"/>
        <v>1105.1347594713861</v>
      </c>
      <c r="I273" s="89"/>
      <c r="J273" s="89">
        <f t="shared" ref="J273:Y273" si="79">J243 + J256 + J172</f>
        <v>491.96129887881398</v>
      </c>
      <c r="K273" s="89">
        <f t="shared" si="79"/>
        <v>39.958277676794999</v>
      </c>
      <c r="L273" s="89">
        <f t="shared" si="79"/>
        <v>207.94583549308351</v>
      </c>
      <c r="M273" s="89">
        <f t="shared" si="79"/>
        <v>2.7673486630904236</v>
      </c>
      <c r="N273" s="89">
        <f t="shared" si="79"/>
        <v>240.13544012424222</v>
      </c>
      <c r="O273" s="89">
        <f t="shared" si="79"/>
        <v>15.631429734655187</v>
      </c>
      <c r="P273" s="89">
        <f t="shared" si="79"/>
        <v>347.52759047343699</v>
      </c>
      <c r="Q273" s="89">
        <f t="shared" si="79"/>
        <v>11.354958359024725</v>
      </c>
      <c r="R273" s="89">
        <f t="shared" si="79"/>
        <v>-0.8847812181625242</v>
      </c>
      <c r="S273" s="89">
        <f t="shared" si="79"/>
        <v>-2.9770034412204989E-4</v>
      </c>
      <c r="T273" s="89">
        <f t="shared" si="79"/>
        <v>-50.468277928845659</v>
      </c>
      <c r="U273" s="89">
        <f t="shared" si="79"/>
        <v>0</v>
      </c>
      <c r="V273" s="89">
        <f t="shared" si="79"/>
        <v>-0.41491114122357831</v>
      </c>
      <c r="W273" s="89">
        <f t="shared" si="79"/>
        <v>0</v>
      </c>
      <c r="X273" s="89">
        <f t="shared" si="79"/>
        <v>-200.37915194317969</v>
      </c>
      <c r="Y273" s="89">
        <f t="shared" si="79"/>
        <v>0</v>
      </c>
      <c r="AQ273" s="3"/>
    </row>
    <row r="274" spans="2:43" x14ac:dyDescent="0.35">
      <c r="C274" s="32"/>
      <c r="F274" t="s">
        <v>196</v>
      </c>
      <c r="G274" t="s">
        <v>172</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35">
      <c r="C275" s="32"/>
      <c r="F275" t="s">
        <v>197</v>
      </c>
      <c r="G275" t="s">
        <v>172</v>
      </c>
      <c r="H275" s="121">
        <f t="shared" si="74"/>
        <v>1214.5988903864259</v>
      </c>
      <c r="I275" s="89"/>
      <c r="J275" s="89">
        <f t="shared" ref="J275:Y275" si="81">J245 + J258 + J174</f>
        <v>479.63051060462669</v>
      </c>
      <c r="K275" s="89">
        <f t="shared" si="81"/>
        <v>41.769423212397406</v>
      </c>
      <c r="L275" s="89">
        <f t="shared" si="81"/>
        <v>205.26460545244493</v>
      </c>
      <c r="M275" s="89">
        <f t="shared" si="81"/>
        <v>2.9164078037930974</v>
      </c>
      <c r="N275" s="89">
        <f t="shared" si="81"/>
        <v>287.84478707312439</v>
      </c>
      <c r="O275" s="89">
        <f t="shared" si="81"/>
        <v>23.804845162568029</v>
      </c>
      <c r="P275" s="89">
        <f t="shared" si="81"/>
        <v>213.8494349698602</v>
      </c>
      <c r="Q275" s="89">
        <f t="shared" si="81"/>
        <v>10.806458672807931</v>
      </c>
      <c r="R275" s="89">
        <f t="shared" si="81"/>
        <v>-0.87360703802322903</v>
      </c>
      <c r="S275" s="89">
        <f t="shared" si="81"/>
        <v>-2.9672837230652747E-4</v>
      </c>
      <c r="T275" s="89">
        <f t="shared" si="81"/>
        <v>-50.003689083616429</v>
      </c>
      <c r="U275" s="89">
        <f t="shared" si="81"/>
        <v>0</v>
      </c>
      <c r="V275" s="89">
        <f t="shared" si="81"/>
        <v>-0.40998971518449184</v>
      </c>
      <c r="W275" s="89">
        <f t="shared" si="81"/>
        <v>0</v>
      </c>
      <c r="X275" s="89">
        <f t="shared" si="81"/>
        <v>0</v>
      </c>
      <c r="Y275" s="89">
        <f t="shared" si="81"/>
        <v>0</v>
      </c>
      <c r="AQ275" s="3"/>
    </row>
    <row r="276" spans="2:43" x14ac:dyDescent="0.35">
      <c r="C276" s="32"/>
      <c r="F276" t="s">
        <v>198</v>
      </c>
      <c r="G276" t="s">
        <v>172</v>
      </c>
      <c r="H276" s="121">
        <f t="shared" si="74"/>
        <v>1176.5504453350538</v>
      </c>
      <c r="I276" s="89"/>
      <c r="J276" s="89">
        <f t="shared" ref="J276:Y276" si="82">J246 + J259 + J175</f>
        <v>468.78118708482361</v>
      </c>
      <c r="K276" s="89">
        <f t="shared" si="82"/>
        <v>40.824591773097183</v>
      </c>
      <c r="L276" s="89">
        <f t="shared" si="82"/>
        <v>200.62148525370912</v>
      </c>
      <c r="M276" s="89">
        <f t="shared" si="82"/>
        <v>2.8504381644990029</v>
      </c>
      <c r="N276" s="89">
        <f t="shared" si="82"/>
        <v>479.37079584012702</v>
      </c>
      <c r="O276" s="89">
        <f t="shared" si="82"/>
        <v>23.266375526468469</v>
      </c>
      <c r="P276" s="89">
        <f t="shared" si="82"/>
        <v>0</v>
      </c>
      <c r="Q276" s="89">
        <f t="shared" si="82"/>
        <v>10.562014744299551</v>
      </c>
      <c r="R276" s="89">
        <f t="shared" si="82"/>
        <v>-0.85384589861459803</v>
      </c>
      <c r="S276" s="89">
        <f t="shared" si="82"/>
        <v>0</v>
      </c>
      <c r="T276" s="89">
        <f t="shared" si="82"/>
        <v>-48.872597153355549</v>
      </c>
      <c r="U276" s="89">
        <f t="shared" si="82"/>
        <v>0</v>
      </c>
      <c r="V276" s="89">
        <f t="shared" si="82"/>
        <v>0</v>
      </c>
      <c r="W276" s="89">
        <f t="shared" si="82"/>
        <v>0</v>
      </c>
      <c r="X276" s="89">
        <f t="shared" si="82"/>
        <v>0</v>
      </c>
      <c r="Y276" s="89">
        <f t="shared" si="82"/>
        <v>0</v>
      </c>
      <c r="AQ276" s="3"/>
    </row>
    <row r="277" spans="2:43" x14ac:dyDescent="0.35">
      <c r="C277" s="32"/>
      <c r="F277" s="37" t="s">
        <v>199</v>
      </c>
      <c r="G277" s="37" t="s">
        <v>172</v>
      </c>
      <c r="H277" s="131">
        <f t="shared" si="74"/>
        <v>921.10825671017255</v>
      </c>
      <c r="I277" s="82"/>
      <c r="J277" s="82">
        <f t="shared" ref="J277:Y277" si="83">J247 + J260 + J176</f>
        <v>342.86044888999749</v>
      </c>
      <c r="K277" s="82">
        <f t="shared" si="83"/>
        <v>0</v>
      </c>
      <c r="L277" s="82">
        <f t="shared" si="83"/>
        <v>137.12191537378149</v>
      </c>
      <c r="M277" s="82">
        <f t="shared" si="83"/>
        <v>0</v>
      </c>
      <c r="N277" s="82">
        <f t="shared" si="83"/>
        <v>430.92907930380778</v>
      </c>
      <c r="O277" s="82">
        <f t="shared" si="83"/>
        <v>0</v>
      </c>
      <c r="P277" s="82">
        <f t="shared" si="83"/>
        <v>0</v>
      </c>
      <c r="Q277" s="82">
        <f t="shared" si="83"/>
        <v>10.196813142585828</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35">
      <c r="H278" s="166"/>
    </row>
    <row r="279" spans="2:43" x14ac:dyDescent="0.35">
      <c r="B279" s="30" t="s">
        <v>231</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35">
      <c r="E281" t="s">
        <v>232</v>
      </c>
      <c r="G281" s="6" t="s">
        <v>55</v>
      </c>
      <c r="H281" s="103">
        <f t="array" ref="H281">SUM(IF(ISERROR(H23:Y277), 1))</f>
        <v>0</v>
      </c>
    </row>
    <row r="283" spans="2:43" x14ac:dyDescent="0.35">
      <c r="B283" s="30" t="s">
        <v>106</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35">
      <c r="J288" s="63"/>
      <c r="L288" s="63"/>
    </row>
    <row r="289" spans="10:12" x14ac:dyDescent="0.35">
      <c r="J289" s="63"/>
      <c r="L289" s="63"/>
    </row>
    <row r="290" spans="10:12" x14ac:dyDescent="0.35">
      <c r="J290" s="63"/>
      <c r="L290" s="63"/>
    </row>
    <row r="291" spans="10:12" x14ac:dyDescent="0.35">
      <c r="J291" s="63"/>
      <c r="L291" s="63"/>
    </row>
    <row r="292" spans="10:12" x14ac:dyDescent="0.35">
      <c r="J292" s="63"/>
      <c r="L292" s="63"/>
    </row>
    <row r="293" spans="10:12" x14ac:dyDescent="0.35">
      <c r="J293" s="63"/>
      <c r="L293" s="63"/>
    </row>
    <row r="294" spans="10:12" x14ac:dyDescent="0.35">
      <c r="J294" s="63"/>
      <c r="L294" s="63"/>
    </row>
    <row r="295" spans="10:12" x14ac:dyDescent="0.35">
      <c r="J295" s="63"/>
      <c r="L295" s="63"/>
    </row>
    <row r="296" spans="10:12" x14ac:dyDescent="0.35">
      <c r="J296" s="63"/>
      <c r="L296" s="63"/>
    </row>
    <row r="297" spans="10:12" x14ac:dyDescent="0.35">
      <c r="J297" s="63"/>
      <c r="L297" s="63"/>
    </row>
    <row r="298" spans="10:12" x14ac:dyDescent="0.35">
      <c r="J298" s="63"/>
      <c r="L298" s="63"/>
    </row>
    <row r="299" spans="10:12" x14ac:dyDescent="0.35">
      <c r="J299" s="63"/>
      <c r="L299" s="63"/>
    </row>
    <row r="300" spans="10:12" x14ac:dyDescent="0.35">
      <c r="J300" s="63"/>
      <c r="L300" s="63"/>
    </row>
    <row r="301" spans="10:12" x14ac:dyDescent="0.35">
      <c r="J301" s="63"/>
      <c r="L301" s="63"/>
    </row>
    <row r="302" spans="10:12" x14ac:dyDescent="0.35">
      <c r="J302" s="63"/>
      <c r="L302" s="63"/>
    </row>
    <row r="303" spans="10:12" x14ac:dyDescent="0.35">
      <c r="J303" s="63"/>
      <c r="L303" s="63"/>
    </row>
    <row r="304" spans="10:12" x14ac:dyDescent="0.35">
      <c r="J304" s="63"/>
      <c r="L304" s="63"/>
    </row>
    <row r="305" spans="10:12" x14ac:dyDescent="0.35">
      <c r="J305" s="63"/>
      <c r="L305" s="63"/>
    </row>
    <row r="306" spans="10:12" x14ac:dyDescent="0.35">
      <c r="J306" s="63"/>
      <c r="L306" s="63"/>
    </row>
    <row r="307" spans="10:12" x14ac:dyDescent="0.35">
      <c r="J307" s="63"/>
      <c r="L307" s="63"/>
    </row>
    <row r="308" spans="10:12" x14ac:dyDescent="0.35">
      <c r="J308" s="63"/>
      <c r="L308" s="63"/>
    </row>
    <row r="309" spans="10:12" x14ac:dyDescent="0.35">
      <c r="J309" s="63"/>
      <c r="L309" s="63"/>
    </row>
    <row r="310" spans="10:12" x14ac:dyDescent="0.35">
      <c r="J310" s="63"/>
      <c r="L310" s="63"/>
    </row>
    <row r="311" spans="10:12" x14ac:dyDescent="0.35">
      <c r="J311" s="63"/>
      <c r="L311" s="63"/>
    </row>
    <row r="312" spans="10:12" x14ac:dyDescent="0.35">
      <c r="J312" s="63"/>
      <c r="L312" s="63"/>
    </row>
    <row r="313" spans="10:12" x14ac:dyDescent="0.35">
      <c r="J313" s="63"/>
      <c r="L313" s="63"/>
    </row>
    <row r="314" spans="10:12" x14ac:dyDescent="0.35">
      <c r="J314" s="63"/>
      <c r="L314" s="63"/>
    </row>
    <row r="315" spans="10:12" x14ac:dyDescent="0.35">
      <c r="J315" s="63"/>
      <c r="L315" s="63"/>
    </row>
    <row r="316" spans="10:12" x14ac:dyDescent="0.35">
      <c r="J316" s="63"/>
      <c r="L316" s="63"/>
    </row>
    <row r="317" spans="10:12" x14ac:dyDescent="0.35">
      <c r="J317" s="63"/>
      <c r="L317" s="63"/>
    </row>
    <row r="318" spans="10:12" x14ac:dyDescent="0.35">
      <c r="J318" s="63"/>
      <c r="L318" s="63"/>
    </row>
    <row r="319" spans="10:12" x14ac:dyDescent="0.35">
      <c r="J319" s="63"/>
      <c r="L319" s="63"/>
    </row>
    <row r="320" spans="10:12" x14ac:dyDescent="0.35">
      <c r="J320" s="63"/>
      <c r="L320" s="63"/>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41" width="17" hidden="1" customWidth="1"/>
    <col min="42" max="42" width="3.54296875" hidden="1" customWidth="1"/>
    <col min="43" max="43" width="18.453125" hidden="1" customWidth="1"/>
    <col min="44" max="44" width="4.453125" hidden="1" customWidth="1"/>
    <col min="45" max="45" width="24.54296875" hidden="1" customWidth="1"/>
    <col min="46" max="46" width="3.54296875" hidden="1" customWidth="1"/>
    <col min="47" max="47" width="15.453125" hidden="1" customWidth="1"/>
    <col min="48" max="323" width="24.54296875" hidden="1" customWidth="1"/>
    <col min="324" max="16384" width="8.7265625" hidden="1"/>
  </cols>
  <sheetData>
    <row r="1" spans="1:43" s="1" customFormat="1" x14ac:dyDescent="0.35">
      <c r="A1" s="1" t="str">
        <f ca="1">MID(CELL("filename",A1),FIND("]",CELL("filename",A1))+1,255)</f>
        <v>Service model assets</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H38 &amp; IF(H38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35">
      <c r="C9" s="29" t="s">
        <v>546</v>
      </c>
    </row>
    <row r="10" spans="1:43" x14ac:dyDescent="0.35">
      <c r="C10" s="29" t="s">
        <v>547</v>
      </c>
    </row>
    <row r="11" spans="1:43" x14ac:dyDescent="0.35">
      <c r="D11" s="32"/>
      <c r="AQ11" s="3"/>
    </row>
    <row r="12" spans="1:43" x14ac:dyDescent="0.35">
      <c r="B12" s="30" t="s">
        <v>548</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35">
      <c r="G13" s="13"/>
    </row>
    <row r="14" spans="1:43" x14ac:dyDescent="0.3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35">
      <c r="E16" s="28" t="s">
        <v>549</v>
      </c>
      <c r="G16" s="28" t="s">
        <v>212</v>
      </c>
      <c r="J16" s="120">
        <f>'Volume adjustments'!J275</f>
        <v>712324.84882153419</v>
      </c>
      <c r="K16" s="120">
        <f>'Volume adjustments'!K275</f>
        <v>72371.122331145176</v>
      </c>
      <c r="L16" s="120">
        <f>'Volume adjustments'!L275</f>
        <v>74779.948743062254</v>
      </c>
      <c r="M16" s="120">
        <f>'Volume adjustments'!M275</f>
        <v>2436.905804440873</v>
      </c>
      <c r="N16" s="120">
        <f>'Volume adjustments'!N275</f>
        <v>6781.647497057761</v>
      </c>
      <c r="O16" s="120">
        <f>'Volume adjustments'!O275</f>
        <v>121.56639433773661</v>
      </c>
      <c r="P16" s="120">
        <f>'Volume adjustments'!P275</f>
        <v>697.99564992525643</v>
      </c>
      <c r="Q16" s="120">
        <f>'Volume adjustments'!Q275</f>
        <v>1889.7423367815629</v>
      </c>
      <c r="R16" s="120">
        <f>'Volume adjustments'!R275</f>
        <v>376.80645161290334</v>
      </c>
      <c r="S16" s="120">
        <f>'Volume adjustments'!S275</f>
        <v>1</v>
      </c>
      <c r="T16" s="120">
        <f>'Volume adjustments'!T275</f>
        <v>812.9295222209638</v>
      </c>
      <c r="U16" s="120">
        <f>'Volume adjustments'!U275</f>
        <v>0</v>
      </c>
      <c r="V16" s="120">
        <f>'Volume adjustments'!V275</f>
        <v>2</v>
      </c>
      <c r="W16" s="120">
        <f>'Volume adjustments'!W275</f>
        <v>0</v>
      </c>
      <c r="X16" s="120">
        <f>'Volume adjustments'!X275</f>
        <v>348.45161290322585</v>
      </c>
      <c r="Y16" s="120">
        <f>'Volume adjustments'!Y275</f>
        <v>0</v>
      </c>
    </row>
    <row r="17" spans="5:27" x14ac:dyDescent="0.35">
      <c r="E17" s="28" t="s">
        <v>550</v>
      </c>
      <c r="G17" s="28" t="s">
        <v>207</v>
      </c>
      <c r="J17" s="124">
        <f>'Volume adjustments'!J264</f>
        <v>2586421.4866675828</v>
      </c>
      <c r="K17" s="124">
        <f>'Volume adjustments'!K264</f>
        <v>367023.01289185032</v>
      </c>
      <c r="L17" s="124">
        <f>'Volume adjustments'!L264</f>
        <v>1007581.0799788579</v>
      </c>
      <c r="M17" s="124">
        <f>'Volume adjustments'!M264</f>
        <v>23656.846153411865</v>
      </c>
      <c r="N17" s="124">
        <f>'Volume adjustments'!N264</f>
        <v>1418788.7869828644</v>
      </c>
      <c r="O17" s="124">
        <f>'Volume adjustments'!O264</f>
        <v>116691.8568366808</v>
      </c>
      <c r="P17" s="124">
        <f>'Volume adjustments'!P264</f>
        <v>779360.83753175882</v>
      </c>
      <c r="Q17" s="124">
        <f>'Volume adjustments'!Q264</f>
        <v>96289.216654613818</v>
      </c>
      <c r="R17" s="124">
        <f>'Volume adjustments'!R264</f>
        <v>6265.4870185122818</v>
      </c>
      <c r="S17" s="124">
        <f>'Volume adjustments'!S264</f>
        <v>2.234</v>
      </c>
      <c r="T17" s="124">
        <f>'Volume adjustments'!T264</f>
        <v>407365.85243976471</v>
      </c>
      <c r="U17" s="124">
        <f>'Volume adjustments'!U264</f>
        <v>0</v>
      </c>
      <c r="V17" s="124">
        <f>'Volume adjustments'!V264</f>
        <v>3382.9138800481737</v>
      </c>
      <c r="W17" s="124">
        <f>'Volume adjustments'!W264</f>
        <v>0</v>
      </c>
      <c r="X17" s="124">
        <f>'Volume adjustments'!X264</f>
        <v>1625812.3317754827</v>
      </c>
      <c r="Y17" s="124">
        <f>'Volume adjustments'!Y264</f>
        <v>0</v>
      </c>
    </row>
    <row r="18" spans="5:27" x14ac:dyDescent="0.35">
      <c r="J18" s="89"/>
      <c r="K18" s="89"/>
      <c r="L18" s="89"/>
      <c r="M18" s="89"/>
      <c r="N18" s="89"/>
      <c r="O18" s="89"/>
      <c r="P18" s="89"/>
      <c r="Q18" s="89"/>
      <c r="R18" s="89"/>
      <c r="S18" s="89"/>
      <c r="T18" s="89"/>
      <c r="U18" s="89"/>
      <c r="V18" s="89"/>
      <c r="W18" s="89"/>
      <c r="X18" s="89"/>
      <c r="Y18" s="89"/>
    </row>
    <row r="19" spans="5:27" x14ac:dyDescent="0.35">
      <c r="E19" s="88" t="s">
        <v>551</v>
      </c>
      <c r="J19" s="89"/>
      <c r="K19" s="89"/>
      <c r="L19" s="89"/>
      <c r="M19" s="89"/>
      <c r="N19" s="89"/>
      <c r="O19" s="89"/>
      <c r="P19" s="89"/>
      <c r="Q19" s="89"/>
      <c r="R19" s="89"/>
      <c r="S19" s="89"/>
      <c r="T19" s="89"/>
      <c r="U19" s="89"/>
      <c r="V19" s="89"/>
      <c r="W19" s="89"/>
      <c r="X19" s="89"/>
      <c r="Y19" s="89"/>
    </row>
    <row r="20" spans="5:27" x14ac:dyDescent="0.35">
      <c r="E20" s="29" t="s">
        <v>552</v>
      </c>
      <c r="J20" s="89"/>
      <c r="K20" s="89"/>
      <c r="L20" s="89"/>
      <c r="M20" s="89"/>
      <c r="N20" s="89"/>
      <c r="O20" s="89"/>
      <c r="P20" s="89"/>
      <c r="Q20" s="89"/>
      <c r="R20" s="89"/>
      <c r="S20" s="89"/>
      <c r="T20" s="89"/>
      <c r="U20" s="89"/>
      <c r="V20" s="89"/>
      <c r="W20" s="89"/>
      <c r="X20" s="89"/>
      <c r="Y20" s="89"/>
    </row>
    <row r="21" spans="5:27" x14ac:dyDescent="0.35">
      <c r="E21" s="88"/>
      <c r="F21" s="23" t="s">
        <v>376</v>
      </c>
      <c r="G21" s="23" t="s">
        <v>261</v>
      </c>
      <c r="H21" s="174"/>
      <c r="I21" s="23"/>
      <c r="J21" s="124">
        <f>'Inputs by customer type'!J187</f>
        <v>340.30200083901309</v>
      </c>
      <c r="K21" s="124">
        <f>'Inputs by customer type'!K187</f>
        <v>0</v>
      </c>
      <c r="L21" s="124">
        <f>'Inputs by customer type'!L187</f>
        <v>603.05999999999995</v>
      </c>
      <c r="M21" s="124">
        <f>'Inputs by customer type'!M187</f>
        <v>0</v>
      </c>
      <c r="N21" s="124">
        <f>'Inputs by customer type'!N187</f>
        <v>2314.17</v>
      </c>
      <c r="O21" s="124">
        <f>'Inputs by customer type'!O187</f>
        <v>5441.46</v>
      </c>
      <c r="P21" s="124">
        <f>'Inputs by customer type'!P187</f>
        <v>0</v>
      </c>
      <c r="Q21" s="83"/>
      <c r="R21" s="124">
        <f>'Inputs by customer type'!R187</f>
        <v>0</v>
      </c>
      <c r="S21" s="124">
        <f>'Inputs by customer type'!S187</f>
        <v>0</v>
      </c>
      <c r="T21" s="124">
        <f>'Inputs by customer type'!T187</f>
        <v>0</v>
      </c>
      <c r="U21" s="124">
        <f>'Inputs by customer type'!U187</f>
        <v>0</v>
      </c>
      <c r="V21" s="124">
        <f>'Inputs by customer type'!V187</f>
        <v>0</v>
      </c>
      <c r="W21" s="124">
        <f>'Inputs by customer type'!W187</f>
        <v>0</v>
      </c>
      <c r="X21" s="124">
        <f>'Inputs by customer type'!X187</f>
        <v>0</v>
      </c>
      <c r="Y21" s="124">
        <f>'Inputs by customer type'!Y187</f>
        <v>0</v>
      </c>
    </row>
    <row r="22" spans="5:27" x14ac:dyDescent="0.35">
      <c r="E22" s="88"/>
      <c r="F22" t="s">
        <v>377</v>
      </c>
      <c r="G22" t="s">
        <v>261</v>
      </c>
      <c r="H22" s="51"/>
      <c r="J22" s="120">
        <f>'Inputs by customer type'!J188</f>
        <v>0</v>
      </c>
      <c r="K22" s="120">
        <f>'Inputs by customer type'!K188</f>
        <v>0</v>
      </c>
      <c r="L22" s="120">
        <f>'Inputs by customer type'!L188</f>
        <v>0</v>
      </c>
      <c r="M22" s="120">
        <f>'Inputs by customer type'!M188</f>
        <v>0</v>
      </c>
      <c r="N22" s="120">
        <f>'Inputs by customer type'!N188</f>
        <v>0</v>
      </c>
      <c r="O22" s="120">
        <f>'Inputs by customer type'!O188</f>
        <v>0</v>
      </c>
      <c r="P22" s="120">
        <f>'Inputs by customer type'!P188</f>
        <v>27478.07</v>
      </c>
      <c r="Q22" s="79"/>
      <c r="R22" s="120">
        <f>'Inputs by customer type'!R188</f>
        <v>0</v>
      </c>
      <c r="S22" s="120">
        <f>'Inputs by customer type'!S188</f>
        <v>0</v>
      </c>
      <c r="T22" s="120">
        <f>'Inputs by customer type'!T188</f>
        <v>0</v>
      </c>
      <c r="U22" s="120">
        <f>'Inputs by customer type'!U188</f>
        <v>0</v>
      </c>
      <c r="V22" s="120">
        <f>'Inputs by customer type'!V188</f>
        <v>0</v>
      </c>
      <c r="W22" s="120">
        <f>'Inputs by customer type'!W188</f>
        <v>0</v>
      </c>
      <c r="X22" s="120">
        <f>'Inputs by customer type'!X188</f>
        <v>44937.57</v>
      </c>
      <c r="Y22" s="120">
        <f>'Inputs by customer type'!Y188</f>
        <v>44937.57</v>
      </c>
    </row>
    <row r="23" spans="5:27" x14ac:dyDescent="0.35">
      <c r="E23" s="88"/>
      <c r="F23" s="37" t="s">
        <v>553</v>
      </c>
      <c r="G23" s="37" t="s">
        <v>264</v>
      </c>
      <c r="H23" s="37"/>
      <c r="I23" s="37"/>
      <c r="J23" s="306"/>
      <c r="K23" s="306"/>
      <c r="L23" s="306"/>
      <c r="M23" s="306"/>
      <c r="N23" s="306"/>
      <c r="O23" s="306"/>
      <c r="P23" s="306"/>
      <c r="Q23" s="217">
        <f>'Inputs by customer type'!Q190</f>
        <v>599.34996000000001</v>
      </c>
      <c r="R23" s="306"/>
      <c r="S23" s="306"/>
      <c r="T23" s="306"/>
      <c r="U23" s="306"/>
      <c r="V23" s="306"/>
      <c r="W23" s="306"/>
      <c r="X23" s="306"/>
      <c r="Y23" s="306"/>
    </row>
    <row r="24" spans="5:27" x14ac:dyDescent="0.35">
      <c r="J24" s="89"/>
      <c r="K24" s="89"/>
      <c r="L24" s="89"/>
      <c r="M24" s="89"/>
      <c r="N24" s="89"/>
      <c r="O24" s="89"/>
      <c r="P24" s="89"/>
      <c r="Q24" s="89"/>
      <c r="R24" s="89"/>
      <c r="S24" s="89"/>
      <c r="T24" s="89"/>
      <c r="U24" s="89"/>
      <c r="V24" s="89"/>
      <c r="W24" s="89"/>
      <c r="X24" s="89"/>
      <c r="Y24" s="89"/>
    </row>
    <row r="25" spans="5:27" x14ac:dyDescent="0.35">
      <c r="E25" s="88" t="s">
        <v>554</v>
      </c>
      <c r="J25" s="89"/>
      <c r="K25" s="89"/>
      <c r="L25" s="89"/>
      <c r="M25" s="89"/>
      <c r="N25" s="89"/>
      <c r="O25" s="89"/>
      <c r="P25" s="89"/>
      <c r="Q25" s="89"/>
      <c r="R25" s="89"/>
      <c r="S25" s="89"/>
      <c r="T25" s="89"/>
      <c r="U25" s="89"/>
      <c r="V25" s="89"/>
      <c r="W25" s="89"/>
      <c r="X25" s="89"/>
      <c r="Y25" s="89"/>
    </row>
    <row r="26" spans="5:27" x14ac:dyDescent="0.35">
      <c r="E26" s="29" t="s">
        <v>555</v>
      </c>
      <c r="I26" t="s">
        <v>154</v>
      </c>
      <c r="J26" s="89"/>
      <c r="K26" s="89"/>
      <c r="L26" s="89"/>
      <c r="M26" s="89"/>
      <c r="N26" s="89"/>
      <c r="O26" s="89"/>
      <c r="P26" s="89"/>
      <c r="Q26" s="89"/>
      <c r="R26" s="89"/>
      <c r="S26" s="89"/>
      <c r="T26" s="89"/>
      <c r="U26" s="89"/>
      <c r="V26" s="89"/>
      <c r="W26" s="89"/>
      <c r="X26" s="89"/>
      <c r="Y26" s="89"/>
      <c r="AA26" t="s">
        <v>903</v>
      </c>
    </row>
    <row r="27" spans="5:27" x14ac:dyDescent="0.35">
      <c r="F27" s="23" t="s">
        <v>376</v>
      </c>
      <c r="G27" s="23" t="s">
        <v>277</v>
      </c>
      <c r="H27" s="129"/>
      <c r="I27" s="23"/>
      <c r="J27" s="126">
        <f t="shared" ref="J27:Y27" si="0">J21 * J$16</f>
        <v>242405571.30131561</v>
      </c>
      <c r="K27" s="126">
        <f t="shared" si="0"/>
        <v>0</v>
      </c>
      <c r="L27" s="126">
        <f t="shared" si="0"/>
        <v>45096795.888991117</v>
      </c>
      <c r="M27" s="126">
        <f t="shared" si="0"/>
        <v>0</v>
      </c>
      <c r="N27" s="126">
        <f t="shared" si="0"/>
        <v>15693885.18826616</v>
      </c>
      <c r="O27" s="126">
        <f t="shared" si="0"/>
        <v>661498.67213302024</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35">
      <c r="F28" t="s">
        <v>377</v>
      </c>
      <c r="G28" t="s">
        <v>277</v>
      </c>
      <c r="H28" s="63"/>
      <c r="J28" s="98">
        <f t="shared" ref="J28:Y28" si="1">J22 * J$16</f>
        <v>0</v>
      </c>
      <c r="K28" s="98">
        <f t="shared" si="1"/>
        <v>0</v>
      </c>
      <c r="L28" s="98">
        <f t="shared" si="1"/>
        <v>0</v>
      </c>
      <c r="M28" s="98">
        <f t="shared" si="1"/>
        <v>0</v>
      </c>
      <c r="N28" s="98">
        <f t="shared" si="1"/>
        <v>0</v>
      </c>
      <c r="O28" s="98">
        <f t="shared" si="1"/>
        <v>0</v>
      </c>
      <c r="P28" s="98">
        <f t="shared" si="1"/>
        <v>19179573.328341689</v>
      </c>
      <c r="Q28" s="98">
        <f t="shared" si="1"/>
        <v>0</v>
      </c>
      <c r="R28" s="98">
        <f t="shared" si="1"/>
        <v>0</v>
      </c>
      <c r="S28" s="98">
        <f t="shared" si="1"/>
        <v>0</v>
      </c>
      <c r="T28" s="98">
        <f t="shared" si="1"/>
        <v>0</v>
      </c>
      <c r="U28" s="98">
        <f t="shared" si="1"/>
        <v>0</v>
      </c>
      <c r="V28" s="98">
        <f t="shared" si="1"/>
        <v>0</v>
      </c>
      <c r="W28" s="98">
        <f t="shared" si="1"/>
        <v>0</v>
      </c>
      <c r="X28" s="98">
        <f t="shared" si="1"/>
        <v>15658568.746451614</v>
      </c>
      <c r="Y28" s="98">
        <f t="shared" si="1"/>
        <v>0</v>
      </c>
    </row>
    <row r="29" spans="5:27" x14ac:dyDescent="0.35">
      <c r="F29" s="37" t="s">
        <v>553</v>
      </c>
      <c r="G29" s="37" t="s">
        <v>277</v>
      </c>
      <c r="H29" s="130"/>
      <c r="I29" s="37"/>
      <c r="J29" s="306"/>
      <c r="K29" s="306"/>
      <c r="L29" s="306"/>
      <c r="M29" s="306"/>
      <c r="N29" s="306"/>
      <c r="O29" s="306"/>
      <c r="P29" s="306"/>
      <c r="Q29" s="153">
        <f t="shared" ref="Q29" si="2">Q23 * Q$17</f>
        <v>57710938.150374129</v>
      </c>
      <c r="R29" s="306"/>
      <c r="S29" s="306"/>
      <c r="T29" s="306"/>
      <c r="U29" s="306"/>
      <c r="V29" s="306"/>
      <c r="W29" s="306"/>
      <c r="X29" s="306"/>
      <c r="Y29" s="306"/>
    </row>
    <row r="30" spans="5:27" x14ac:dyDescent="0.35">
      <c r="J30" s="89"/>
      <c r="K30" s="89"/>
      <c r="L30" s="89"/>
      <c r="M30" s="89"/>
      <c r="N30" s="89"/>
      <c r="O30" s="89"/>
      <c r="P30" s="89"/>
      <c r="Q30" s="89"/>
      <c r="R30" s="89"/>
      <c r="S30" s="89"/>
      <c r="T30" s="89"/>
      <c r="U30" s="89"/>
      <c r="V30" s="89"/>
      <c r="W30" s="89"/>
      <c r="X30" s="89"/>
      <c r="Y30" s="89"/>
    </row>
    <row r="31" spans="5:27" x14ac:dyDescent="0.35">
      <c r="E31" s="88" t="s">
        <v>556</v>
      </c>
      <c r="J31" s="89"/>
      <c r="K31" s="89"/>
      <c r="L31" s="89"/>
      <c r="M31" s="89"/>
      <c r="N31" s="89"/>
      <c r="O31" s="89"/>
      <c r="P31" s="89"/>
      <c r="Q31" s="89"/>
      <c r="R31" s="89"/>
      <c r="S31" s="89"/>
      <c r="T31" s="89"/>
      <c r="U31" s="89"/>
      <c r="V31" s="89"/>
      <c r="W31" s="89"/>
      <c r="X31" s="89"/>
      <c r="Y31" s="89"/>
    </row>
    <row r="32" spans="5:27" x14ac:dyDescent="0.35">
      <c r="E32" s="29" t="s">
        <v>557</v>
      </c>
      <c r="H32" s="128" t="s">
        <v>545</v>
      </c>
      <c r="J32" s="89"/>
      <c r="K32" s="89"/>
      <c r="L32" s="89"/>
      <c r="M32" s="89"/>
      <c r="N32" s="89"/>
      <c r="O32" s="89"/>
      <c r="P32" s="89"/>
      <c r="Q32" s="89"/>
      <c r="R32" s="89"/>
      <c r="S32" s="89"/>
      <c r="T32" s="89"/>
      <c r="U32" s="89"/>
      <c r="V32" s="89"/>
      <c r="W32" s="89"/>
      <c r="X32" s="89"/>
      <c r="Y32" s="89"/>
    </row>
    <row r="33" spans="2:43" x14ac:dyDescent="0.35">
      <c r="F33" s="23" t="s">
        <v>558</v>
      </c>
      <c r="G33" s="23" t="s">
        <v>277</v>
      </c>
      <c r="H33" s="101">
        <f>SUM(J33:Y33)</f>
        <v>361568689.20108002</v>
      </c>
      <c r="I33" s="23"/>
      <c r="J33" s="158">
        <f t="shared" ref="J33:Y33" si="3">J27 +J29</f>
        <v>242405571.30131561</v>
      </c>
      <c r="K33" s="158">
        <f t="shared" si="3"/>
        <v>0</v>
      </c>
      <c r="L33" s="158">
        <f t="shared" si="3"/>
        <v>45096795.888991117</v>
      </c>
      <c r="M33" s="158">
        <f t="shared" si="3"/>
        <v>0</v>
      </c>
      <c r="N33" s="158">
        <f t="shared" si="3"/>
        <v>15693885.18826616</v>
      </c>
      <c r="O33" s="158">
        <f t="shared" si="3"/>
        <v>661498.67213302024</v>
      </c>
      <c r="P33" s="158">
        <f t="shared" si="3"/>
        <v>0</v>
      </c>
      <c r="Q33" s="158">
        <f t="shared" si="3"/>
        <v>57710938.150374129</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35">
      <c r="F34" s="37" t="s">
        <v>559</v>
      </c>
      <c r="G34" s="37" t="s">
        <v>277</v>
      </c>
      <c r="H34" s="131">
        <f>SUM(J34:Y34)</f>
        <v>34838142.074793302</v>
      </c>
      <c r="I34" s="37"/>
      <c r="J34" s="167">
        <f t="shared" ref="J34:Y34" si="4">J28</f>
        <v>0</v>
      </c>
      <c r="K34" s="167">
        <f t="shared" si="4"/>
        <v>0</v>
      </c>
      <c r="L34" s="167">
        <f t="shared" si="4"/>
        <v>0</v>
      </c>
      <c r="M34" s="167">
        <f t="shared" si="4"/>
        <v>0</v>
      </c>
      <c r="N34" s="167">
        <f t="shared" si="4"/>
        <v>0</v>
      </c>
      <c r="O34" s="167">
        <f t="shared" si="4"/>
        <v>0</v>
      </c>
      <c r="P34" s="167">
        <f t="shared" si="4"/>
        <v>19179573.328341689</v>
      </c>
      <c r="Q34" s="167">
        <f t="shared" si="4"/>
        <v>0</v>
      </c>
      <c r="R34" s="167">
        <f t="shared" si="4"/>
        <v>0</v>
      </c>
      <c r="S34" s="167">
        <f t="shared" si="4"/>
        <v>0</v>
      </c>
      <c r="T34" s="167">
        <f t="shared" si="4"/>
        <v>0</v>
      </c>
      <c r="U34" s="167">
        <f t="shared" si="4"/>
        <v>0</v>
      </c>
      <c r="V34" s="167">
        <f t="shared" si="4"/>
        <v>0</v>
      </c>
      <c r="W34" s="167">
        <f t="shared" si="4"/>
        <v>0</v>
      </c>
      <c r="X34" s="167">
        <f t="shared" si="4"/>
        <v>15658568.746451614</v>
      </c>
      <c r="Y34" s="167">
        <f t="shared" si="4"/>
        <v>0</v>
      </c>
    </row>
    <row r="36" spans="2:43" x14ac:dyDescent="0.35">
      <c r="B36" s="30" t="s">
        <v>231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35">
      <c r="E38" t="s">
        <v>232</v>
      </c>
      <c r="G38" s="6" t="s">
        <v>55</v>
      </c>
      <c r="H38" s="103">
        <f t="array" ref="H38">SUM(IF(ISERROR(H16:Y35), 1))</f>
        <v>0</v>
      </c>
    </row>
    <row r="40" spans="2:43" x14ac:dyDescent="0.35">
      <c r="B40" s="30" t="s">
        <v>106</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1" width="17" customWidth="1"/>
    <col min="22" max="22" width="2.453125" customWidth="1"/>
    <col min="23" max="23" width="50.54296875" customWidth="1"/>
    <col min="24" max="24" width="2.453125" customWidth="1"/>
    <col min="25" max="42" width="17" hidden="1" customWidth="1"/>
    <col min="43" max="43" width="2.453125" hidden="1" customWidth="1"/>
    <col min="44" max="44" width="18.453125" hidden="1" customWidth="1"/>
    <col min="45" max="45" width="4.453125" hidden="1" customWidth="1"/>
    <col min="46" max="266" width="24.54296875" hidden="1" customWidth="1"/>
    <col min="267" max="16384" width="8.7265625" hidden="1"/>
  </cols>
  <sheetData>
    <row r="1" spans="1:23" s="1" customFormat="1" x14ac:dyDescent="0.35">
      <c r="A1" s="1" t="str">
        <f ca="1">MID(CELL("filename",A1),FIND("]",CELL("filename",A1))+1,255)</f>
        <v>Unit costs</v>
      </c>
    </row>
    <row r="2" spans="1:23" s="1" customFormat="1" x14ac:dyDescent="0.35">
      <c r="A2" s="1" t="str">
        <f>Cover!D21&amp;" - "&amp;Cover!D23</f>
        <v>Scottish Hydro Electric Power Distribution plc - Final_V1.1 (Updated 31-01-22)</v>
      </c>
    </row>
    <row r="3" spans="1:23" s="5" customFormat="1" x14ac:dyDescent="0.35">
      <c r="A3" s="5" t="str">
        <f>Cover!D2&amp;" - "&amp;Cover!D8&amp;" v"&amp;Cover!D10&amp;" - "&amp;Cover!D19</f>
        <v>CDCM charging model - Release for charge setting v7 - 2022/23</v>
      </c>
    </row>
    <row r="4" spans="1:23" x14ac:dyDescent="0.35">
      <c r="A4" s="12" t="str">
        <f>H131 &amp; IF(H131 = 1, " issue", " issues") &amp;" identified in checks on this sheet"</f>
        <v>0 issues identified in checks on this sheet</v>
      </c>
      <c r="B4" s="13"/>
      <c r="C4" s="13"/>
      <c r="D4" s="13"/>
      <c r="E4" s="13"/>
      <c r="F4" s="13"/>
      <c r="G4" s="13"/>
      <c r="H4" s="14"/>
      <c r="I4" s="14"/>
      <c r="J4" s="13"/>
    </row>
    <row r="5" spans="1:23" x14ac:dyDescent="0.35">
      <c r="B5" s="59" t="s">
        <v>142</v>
      </c>
      <c r="C5" s="60"/>
      <c r="D5" s="60"/>
      <c r="E5" s="60"/>
      <c r="F5" s="60"/>
      <c r="G5" s="61" t="s">
        <v>143</v>
      </c>
      <c r="H5" s="62" t="s">
        <v>144</v>
      </c>
      <c r="I5" s="113"/>
      <c r="J5" s="93" t="s">
        <v>189</v>
      </c>
      <c r="K5" s="114" t="s">
        <v>191</v>
      </c>
      <c r="L5" s="114" t="s">
        <v>192</v>
      </c>
      <c r="M5" s="114" t="s">
        <v>193</v>
      </c>
      <c r="N5" s="114" t="s">
        <v>194</v>
      </c>
      <c r="O5" s="114" t="s">
        <v>195</v>
      </c>
      <c r="P5" s="114" t="s">
        <v>196</v>
      </c>
      <c r="Q5" s="114" t="s">
        <v>197</v>
      </c>
      <c r="R5" s="114" t="s">
        <v>198</v>
      </c>
      <c r="S5" s="114" t="s">
        <v>199</v>
      </c>
      <c r="T5" s="114" t="s">
        <v>376</v>
      </c>
      <c r="U5" s="114" t="s">
        <v>377</v>
      </c>
      <c r="W5" s="60" t="s">
        <v>145</v>
      </c>
    </row>
    <row r="6" spans="1:23" x14ac:dyDescent="0.35">
      <c r="H6" s="3"/>
      <c r="I6" s="3"/>
      <c r="J6" s="3"/>
      <c r="K6" s="3"/>
      <c r="L6" s="3"/>
      <c r="M6" s="3"/>
      <c r="N6" s="3"/>
      <c r="O6" s="3"/>
      <c r="P6" s="3"/>
      <c r="Q6" s="3"/>
      <c r="R6" s="3"/>
      <c r="S6" s="3"/>
      <c r="T6" s="3"/>
      <c r="U6" s="3"/>
      <c r="W6" s="3"/>
    </row>
    <row r="7" spans="1:23" x14ac:dyDescent="0.35">
      <c r="B7" s="30" t="s">
        <v>10</v>
      </c>
      <c r="C7" s="30"/>
      <c r="D7" s="30"/>
      <c r="E7" s="30"/>
      <c r="F7" s="30"/>
      <c r="G7" s="30"/>
      <c r="H7" s="30"/>
      <c r="I7" s="30"/>
      <c r="J7" s="30"/>
      <c r="K7" s="30"/>
      <c r="L7" s="30"/>
      <c r="M7" s="30"/>
      <c r="N7" s="30"/>
      <c r="O7" s="30"/>
      <c r="P7" s="30"/>
      <c r="Q7" s="30"/>
      <c r="R7" s="30"/>
      <c r="S7" s="30"/>
      <c r="T7" s="30"/>
      <c r="U7" s="30"/>
      <c r="V7" s="30"/>
      <c r="W7" s="30"/>
    </row>
    <row r="9" spans="1:23" x14ac:dyDescent="0.35">
      <c r="C9" s="29" t="s">
        <v>560</v>
      </c>
      <c r="D9" s="29"/>
    </row>
    <row r="10" spans="1:23" x14ac:dyDescent="0.35">
      <c r="C10" s="29" t="s">
        <v>561</v>
      </c>
      <c r="D10" s="29"/>
    </row>
    <row r="11" spans="1:23" x14ac:dyDescent="0.35">
      <c r="C11" s="29"/>
      <c r="D11" s="29" t="s">
        <v>562</v>
      </c>
    </row>
    <row r="12" spans="1:23" x14ac:dyDescent="0.35">
      <c r="C12" s="29"/>
      <c r="D12" s="29" t="s">
        <v>563</v>
      </c>
    </row>
    <row r="13" spans="1:23" x14ac:dyDescent="0.35">
      <c r="C13" s="29" t="s">
        <v>564</v>
      </c>
      <c r="D13" s="29"/>
    </row>
    <row r="15" spans="1:23" x14ac:dyDescent="0.35">
      <c r="B15" s="30" t="s">
        <v>565</v>
      </c>
      <c r="C15" s="30"/>
      <c r="D15" s="30"/>
      <c r="E15" s="30"/>
      <c r="F15" s="30"/>
      <c r="G15" s="30"/>
      <c r="H15" s="30"/>
      <c r="I15" s="30"/>
      <c r="J15" s="30"/>
      <c r="K15" s="30"/>
      <c r="L15" s="30"/>
      <c r="M15" s="30"/>
      <c r="N15" s="30"/>
      <c r="O15" s="30"/>
      <c r="P15" s="30"/>
      <c r="Q15" s="30"/>
      <c r="R15" s="30"/>
      <c r="S15" s="30"/>
      <c r="T15" s="30"/>
      <c r="U15" s="30"/>
      <c r="V15" s="30"/>
      <c r="W15" s="30"/>
    </row>
    <row r="16" spans="1:23" x14ac:dyDescent="0.35">
      <c r="H16" s="3"/>
      <c r="I16" s="3"/>
      <c r="J16" s="3"/>
      <c r="K16" s="3"/>
      <c r="L16" s="3"/>
      <c r="M16" s="3"/>
      <c r="N16" s="3"/>
      <c r="O16" s="3"/>
      <c r="P16" s="3"/>
      <c r="Q16" s="3"/>
      <c r="R16" s="3"/>
      <c r="S16" s="3"/>
      <c r="T16" s="3"/>
      <c r="U16" s="3"/>
      <c r="W16" s="3"/>
    </row>
    <row r="17" spans="3:25" x14ac:dyDescent="0.35">
      <c r="C17" s="29" t="s">
        <v>566</v>
      </c>
    </row>
    <row r="18" spans="3:25" x14ac:dyDescent="0.35">
      <c r="H18" s="3"/>
      <c r="I18" s="3"/>
      <c r="J18" s="3"/>
      <c r="K18" s="3"/>
      <c r="L18" s="3"/>
      <c r="M18" s="3"/>
      <c r="N18" s="3"/>
      <c r="O18" s="3"/>
      <c r="P18" s="3"/>
      <c r="Q18" s="3"/>
      <c r="R18" s="3"/>
      <c r="S18" s="3"/>
      <c r="T18" s="3"/>
      <c r="U18" s="3"/>
      <c r="W18" s="3"/>
    </row>
    <row r="19" spans="3:25" x14ac:dyDescent="0.3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35">
      <c r="H20" s="3"/>
    </row>
    <row r="21" spans="3:25" x14ac:dyDescent="0.35">
      <c r="D21" s="29" t="s">
        <v>567</v>
      </c>
      <c r="I21" s="3" t="s">
        <v>154</v>
      </c>
      <c r="J21" s="3"/>
      <c r="K21" s="3"/>
      <c r="L21" s="3"/>
      <c r="M21" s="3"/>
      <c r="N21" s="3"/>
      <c r="O21" s="3"/>
      <c r="P21" s="3"/>
      <c r="Q21" s="3"/>
      <c r="R21" s="3"/>
      <c r="S21" s="3"/>
      <c r="T21" s="3"/>
      <c r="U21" s="3"/>
      <c r="W21" s="3" t="s">
        <v>165</v>
      </c>
    </row>
    <row r="22" spans="3:25" x14ac:dyDescent="0.35">
      <c r="D22" s="29"/>
    </row>
    <row r="23" spans="3:25" x14ac:dyDescent="0.35">
      <c r="D23" s="88"/>
      <c r="E23" s="28" t="s">
        <v>353</v>
      </c>
      <c r="G23" s="28" t="s">
        <v>167</v>
      </c>
      <c r="H23" s="116">
        <f>'General inputs'!H91</f>
        <v>3.6499999999999998E-2</v>
      </c>
      <c r="I23" s="3"/>
      <c r="J23" s="3"/>
      <c r="K23" s="3"/>
      <c r="L23" s="3"/>
      <c r="M23" s="3"/>
      <c r="N23" s="3"/>
      <c r="O23" s="3"/>
      <c r="P23" s="3"/>
      <c r="Q23" s="3"/>
      <c r="R23" s="3"/>
      <c r="S23" s="3"/>
      <c r="T23" s="3"/>
      <c r="U23" s="3"/>
    </row>
    <row r="24" spans="3:25" x14ac:dyDescent="0.35">
      <c r="D24" s="88"/>
      <c r="E24" s="28" t="s">
        <v>163</v>
      </c>
      <c r="G24" s="28" t="s">
        <v>164</v>
      </c>
      <c r="H24" s="52">
        <f>'Fixed inputs'!H35</f>
        <v>40</v>
      </c>
      <c r="I24" s="3"/>
      <c r="J24" s="3"/>
      <c r="K24" s="3"/>
      <c r="L24" s="3"/>
      <c r="M24" s="3"/>
      <c r="N24" s="3"/>
      <c r="O24" s="3"/>
      <c r="P24" s="3"/>
      <c r="Q24" s="3"/>
      <c r="R24" s="3"/>
      <c r="S24" s="3"/>
      <c r="T24" s="3"/>
      <c r="U24" s="3"/>
      <c r="W24" s="3"/>
    </row>
    <row r="25" spans="3:25" x14ac:dyDescent="0.35">
      <c r="E25" s="28" t="s">
        <v>568</v>
      </c>
      <c r="G25" s="28" t="s">
        <v>167</v>
      </c>
      <c r="H25" s="176">
        <f>H23 / (1 - (1 + H23) ^ -H24)</f>
        <v>4.792270865014963E-2</v>
      </c>
      <c r="I25" s="3"/>
      <c r="J25" s="3"/>
      <c r="K25" s="3"/>
      <c r="L25" s="3"/>
      <c r="M25" s="3"/>
      <c r="N25" s="3"/>
      <c r="O25" s="3"/>
      <c r="P25" s="3"/>
      <c r="Q25" s="3"/>
      <c r="R25" s="3"/>
      <c r="S25" s="3"/>
      <c r="T25" s="3"/>
      <c r="U25" s="3"/>
      <c r="W25" s="3"/>
    </row>
    <row r="26" spans="3:25" x14ac:dyDescent="0.35">
      <c r="H26" s="3"/>
      <c r="I26" s="3"/>
      <c r="J26" s="3"/>
      <c r="K26" s="3"/>
      <c r="L26" s="3"/>
      <c r="M26" s="3"/>
      <c r="N26" s="3"/>
      <c r="O26" s="3"/>
      <c r="P26" s="3"/>
      <c r="Q26" s="3"/>
      <c r="R26" s="3"/>
      <c r="S26" s="3"/>
      <c r="T26" s="3"/>
      <c r="U26" s="3"/>
      <c r="W26" s="3"/>
    </row>
    <row r="27" spans="3:25" x14ac:dyDescent="0.3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35">
      <c r="E28" s="32"/>
      <c r="F28" s="115"/>
      <c r="H28" s="3"/>
      <c r="I28" s="3"/>
      <c r="J28" s="3"/>
      <c r="K28" s="3"/>
      <c r="L28" s="3"/>
      <c r="M28" s="3"/>
      <c r="N28" s="3"/>
      <c r="O28" s="3"/>
      <c r="P28" s="3"/>
      <c r="Q28" s="3"/>
      <c r="R28" s="3"/>
      <c r="S28" s="3"/>
      <c r="T28" s="3"/>
      <c r="U28" s="3"/>
    </row>
    <row r="29" spans="3:25" x14ac:dyDescent="0.35">
      <c r="D29" s="29" t="s">
        <v>569</v>
      </c>
      <c r="F29" s="115"/>
      <c r="H29" s="3"/>
      <c r="I29" s="3"/>
      <c r="J29" s="3"/>
      <c r="K29" s="3"/>
      <c r="L29" s="3"/>
      <c r="M29" s="3"/>
      <c r="N29" s="3"/>
      <c r="O29" s="3"/>
      <c r="P29" s="3"/>
      <c r="Q29" s="3"/>
      <c r="R29" s="3"/>
      <c r="S29" s="3"/>
      <c r="T29" s="3"/>
      <c r="U29" s="3"/>
    </row>
    <row r="30" spans="3:25" x14ac:dyDescent="0.35">
      <c r="D30" s="29"/>
      <c r="F30" s="115"/>
      <c r="H30" s="3"/>
      <c r="I30" s="3"/>
      <c r="J30" s="3"/>
      <c r="K30" s="3"/>
      <c r="L30" s="3"/>
      <c r="M30" s="3"/>
      <c r="N30" s="3"/>
      <c r="O30" s="3"/>
      <c r="P30" s="3"/>
      <c r="Q30" s="3"/>
      <c r="R30" s="3"/>
      <c r="S30" s="3"/>
      <c r="T30" s="3"/>
      <c r="U30" s="3"/>
    </row>
    <row r="31" spans="3:25" x14ac:dyDescent="0.35">
      <c r="E31" t="s">
        <v>570</v>
      </c>
      <c r="F31" s="119"/>
      <c r="G31" s="28" t="s">
        <v>571</v>
      </c>
      <c r="H31" s="3"/>
      <c r="I31" s="3"/>
      <c r="J31" s="79"/>
      <c r="K31" s="120">
        <f>'Load &amp; loss characteristics'!K29</f>
        <v>1</v>
      </c>
      <c r="L31" s="120">
        <f>'Load &amp; loss characteristics'!L29</f>
        <v>1</v>
      </c>
      <c r="M31" s="120">
        <f>'Load &amp; loss characteristics'!M29</f>
        <v>1</v>
      </c>
      <c r="N31" s="120">
        <f>'Load &amp; loss characteristics'!N29</f>
        <v>1.0149999999999999</v>
      </c>
      <c r="O31" s="120">
        <f>'Load &amp; loss characteristics'!O29</f>
        <v>1.028</v>
      </c>
      <c r="P31" s="120">
        <f>'Load &amp; loss characteristics'!P29</f>
        <v>1.028</v>
      </c>
      <c r="Q31" s="120">
        <f>'Load &amp; loss characteristics'!Q29</f>
        <v>1.0369999999999999</v>
      </c>
      <c r="R31" s="120">
        <f>'Load &amp; loss characteristics'!R29</f>
        <v>1.0609999999999999</v>
      </c>
      <c r="S31" s="120">
        <f>'Load &amp; loss characteristics'!S29</f>
        <v>1.099</v>
      </c>
      <c r="T31" s="79"/>
      <c r="U31" s="79"/>
    </row>
    <row r="32" spans="3:25" x14ac:dyDescent="0.35">
      <c r="E32" t="s">
        <v>572</v>
      </c>
      <c r="F32" s="177"/>
      <c r="G32" s="28" t="s">
        <v>167</v>
      </c>
      <c r="H32" s="3"/>
      <c r="I32" s="3"/>
      <c r="J32" s="178"/>
      <c r="K32" s="179">
        <f>'Load &amp; loss characteristics'!$K$23</f>
        <v>6.800000000000006E-2</v>
      </c>
      <c r="L32" s="180"/>
      <c r="M32" s="180"/>
      <c r="N32" s="180"/>
      <c r="O32" s="180"/>
      <c r="P32" s="178"/>
      <c r="Q32" s="180"/>
      <c r="R32" s="180"/>
      <c r="S32" s="180"/>
      <c r="T32" s="178"/>
      <c r="U32" s="178"/>
      <c r="Y32" s="181"/>
    </row>
    <row r="33" spans="3:23" x14ac:dyDescent="0.35">
      <c r="E33" t="s">
        <v>573</v>
      </c>
      <c r="F33" s="119"/>
      <c r="G33" s="28" t="s">
        <v>167</v>
      </c>
      <c r="H33" s="3"/>
      <c r="I33" s="3"/>
      <c r="J33" s="70"/>
      <c r="K33" s="176">
        <f xml:space="preserve"> 1 / (1 + K32)</f>
        <v>0.93632958801498123</v>
      </c>
      <c r="L33" s="180"/>
      <c r="M33" s="180"/>
      <c r="N33" s="180"/>
      <c r="O33" s="180"/>
      <c r="P33" s="180"/>
      <c r="Q33" s="180"/>
      <c r="R33" s="180"/>
      <c r="S33" s="180"/>
      <c r="T33" s="178"/>
      <c r="U33" s="178"/>
      <c r="W33" s="3"/>
    </row>
    <row r="34" spans="3:23" x14ac:dyDescent="0.35">
      <c r="F34" s="119"/>
      <c r="G34" s="28"/>
      <c r="H34" s="3"/>
      <c r="I34" s="3"/>
      <c r="J34" s="3"/>
      <c r="K34" s="3"/>
      <c r="L34" s="3"/>
      <c r="M34" s="3"/>
      <c r="N34" s="3"/>
      <c r="O34" s="3"/>
      <c r="P34" s="3"/>
      <c r="Q34" s="3"/>
      <c r="R34" s="3"/>
      <c r="S34" s="3"/>
      <c r="T34" s="3"/>
      <c r="U34" s="3"/>
      <c r="V34" s="3"/>
      <c r="W34" s="3"/>
    </row>
    <row r="35" spans="3:23" x14ac:dyDescent="0.3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35">
      <c r="E36" s="32"/>
      <c r="F36" s="115"/>
      <c r="H36" s="3"/>
      <c r="J36" s="3"/>
      <c r="K36" s="3"/>
      <c r="L36" s="3"/>
      <c r="M36" s="3"/>
      <c r="N36" s="3"/>
      <c r="O36" s="3"/>
      <c r="P36" s="3"/>
      <c r="Q36" s="3"/>
      <c r="R36" s="3"/>
      <c r="S36" s="3"/>
      <c r="T36" s="3"/>
      <c r="U36" s="3"/>
    </row>
    <row r="37" spans="3:23" x14ac:dyDescent="0.35">
      <c r="D37" s="29" t="s">
        <v>574</v>
      </c>
      <c r="F37" s="115"/>
      <c r="H37" s="3"/>
      <c r="I37" s="3"/>
      <c r="J37" s="3"/>
      <c r="K37" s="3"/>
      <c r="L37" s="3"/>
      <c r="M37" s="3"/>
      <c r="N37" s="3"/>
      <c r="O37" s="3"/>
      <c r="P37" s="3"/>
      <c r="Q37" s="3"/>
      <c r="R37" s="3"/>
      <c r="S37" s="3"/>
      <c r="T37" s="3"/>
      <c r="U37" s="3"/>
      <c r="W37" s="3"/>
    </row>
    <row r="38" spans="3:23" x14ac:dyDescent="0.35">
      <c r="D38" s="29"/>
      <c r="F38" s="115"/>
      <c r="H38" s="3"/>
      <c r="I38" s="3"/>
      <c r="J38" s="3"/>
      <c r="K38" s="3"/>
      <c r="L38" s="3"/>
      <c r="M38" s="3"/>
      <c r="N38" s="3"/>
      <c r="O38" s="3"/>
      <c r="P38" s="3"/>
      <c r="Q38" s="3"/>
      <c r="R38" s="3"/>
      <c r="S38" s="3"/>
      <c r="T38" s="3"/>
      <c r="U38" s="3"/>
      <c r="W38" s="3"/>
    </row>
    <row r="39" spans="3:23" x14ac:dyDescent="0.35">
      <c r="D39" s="88"/>
      <c r="E39" t="s">
        <v>171</v>
      </c>
      <c r="F39" s="119"/>
      <c r="G39" s="28" t="s">
        <v>172</v>
      </c>
      <c r="H39" s="120">
        <f>'Fixed inputs'!H41</f>
        <v>500</v>
      </c>
      <c r="I39" s="3"/>
      <c r="J39" s="79"/>
      <c r="K39" s="79"/>
      <c r="L39" s="79"/>
      <c r="M39" s="79"/>
      <c r="N39" s="79"/>
      <c r="O39" s="79"/>
      <c r="P39" s="79"/>
      <c r="Q39" s="79"/>
      <c r="R39" s="79"/>
      <c r="S39" s="79"/>
      <c r="T39" s="79"/>
      <c r="U39" s="79"/>
      <c r="W39" s="3"/>
    </row>
    <row r="40" spans="3:23" x14ac:dyDescent="0.35">
      <c r="E40" t="s">
        <v>575</v>
      </c>
      <c r="F40" s="119"/>
      <c r="G40" s="28" t="s">
        <v>172</v>
      </c>
      <c r="H40" s="3"/>
      <c r="I40" s="3" t="s">
        <v>154</v>
      </c>
      <c r="J40" s="79"/>
      <c r="K40" s="182">
        <f t="shared" ref="K40:S40" si="0">$H$39 * $K$33 / K31</f>
        <v>468.16479400749063</v>
      </c>
      <c r="L40" s="182">
        <f t="shared" si="0"/>
        <v>468.16479400749063</v>
      </c>
      <c r="M40" s="182">
        <f t="shared" si="0"/>
        <v>468.16479400749063</v>
      </c>
      <c r="N40" s="182">
        <f t="shared" si="0"/>
        <v>461.24610247043415</v>
      </c>
      <c r="O40" s="182">
        <f t="shared" si="0"/>
        <v>455.41322374269515</v>
      </c>
      <c r="P40" s="182">
        <f t="shared" si="0"/>
        <v>455.41322374269515</v>
      </c>
      <c r="Q40" s="182">
        <f t="shared" si="0"/>
        <v>451.46074639102284</v>
      </c>
      <c r="R40" s="182">
        <f t="shared" si="0"/>
        <v>441.24862771676783</v>
      </c>
      <c r="S40" s="182">
        <f t="shared" si="0"/>
        <v>425.99162330071943</v>
      </c>
      <c r="T40" s="79"/>
      <c r="U40" s="79"/>
      <c r="W40" s="3" t="s">
        <v>576</v>
      </c>
    </row>
    <row r="41" spans="3:23" x14ac:dyDescent="0.35">
      <c r="F41" s="119"/>
      <c r="G41" s="28"/>
      <c r="H41" s="3"/>
      <c r="I41" s="3"/>
      <c r="J41" s="3"/>
      <c r="K41" s="3"/>
      <c r="L41" s="3"/>
      <c r="M41" s="3"/>
      <c r="N41" s="3"/>
      <c r="O41" s="3"/>
      <c r="P41" s="3"/>
      <c r="Q41" s="3"/>
      <c r="R41" s="3"/>
      <c r="S41" s="3"/>
      <c r="T41" s="3"/>
      <c r="U41" s="3"/>
      <c r="V41" s="3"/>
      <c r="W41" s="3"/>
    </row>
    <row r="42" spans="3:23" x14ac:dyDescent="0.3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35">
      <c r="E43" s="32"/>
      <c r="F43" s="115"/>
      <c r="H43" s="3"/>
      <c r="I43" s="3"/>
      <c r="J43" s="3"/>
      <c r="K43" s="3"/>
      <c r="L43" s="3"/>
      <c r="M43" s="3"/>
      <c r="N43" s="3"/>
      <c r="O43" s="3"/>
      <c r="P43" s="3"/>
      <c r="Q43" s="3"/>
      <c r="R43" s="3"/>
      <c r="S43" s="3"/>
      <c r="T43" s="3"/>
      <c r="U43" s="3"/>
      <c r="W43" s="3"/>
    </row>
    <row r="44" spans="3:23" x14ac:dyDescent="0.35">
      <c r="D44" s="29" t="s">
        <v>577</v>
      </c>
      <c r="F44" s="115"/>
      <c r="H44" s="3"/>
      <c r="I44" s="3"/>
      <c r="J44" s="3"/>
      <c r="K44" s="3"/>
      <c r="L44" s="3"/>
      <c r="M44" s="3"/>
      <c r="N44" s="3"/>
      <c r="O44" s="3"/>
      <c r="P44" s="3"/>
      <c r="Q44" s="3"/>
      <c r="R44" s="3"/>
      <c r="S44" s="3"/>
      <c r="T44" s="3"/>
      <c r="U44" s="3"/>
      <c r="W44" s="3"/>
    </row>
    <row r="45" spans="3:23" x14ac:dyDescent="0.35">
      <c r="D45" s="29"/>
      <c r="F45" s="115"/>
      <c r="H45" s="3"/>
      <c r="I45" s="3"/>
      <c r="J45" s="3"/>
      <c r="K45" s="3"/>
      <c r="L45" s="3"/>
      <c r="M45" s="3"/>
      <c r="N45" s="3"/>
      <c r="O45" s="3"/>
      <c r="P45" s="3"/>
      <c r="Q45" s="3"/>
      <c r="R45" s="3"/>
      <c r="S45" s="3"/>
      <c r="T45" s="3"/>
      <c r="U45" s="3"/>
      <c r="W45" s="3"/>
    </row>
    <row r="46" spans="3:23" x14ac:dyDescent="0.35">
      <c r="D46" s="88"/>
      <c r="E46" s="28" t="s">
        <v>281</v>
      </c>
      <c r="G46" s="28" t="s">
        <v>167</v>
      </c>
      <c r="H46" s="3"/>
      <c r="I46" s="3"/>
      <c r="J46" s="180"/>
      <c r="K46" s="180"/>
      <c r="L46" s="180"/>
      <c r="M46" s="180"/>
      <c r="N46" s="180"/>
      <c r="O46" s="180"/>
      <c r="P46" s="179">
        <f>'Inputs by network level'!P17</f>
        <v>0</v>
      </c>
      <c r="Q46" s="180"/>
      <c r="R46" s="180"/>
      <c r="S46" s="180"/>
      <c r="T46" s="180"/>
      <c r="U46" s="180"/>
      <c r="W46" s="3"/>
    </row>
    <row r="47" spans="3:23" x14ac:dyDescent="0.35">
      <c r="E47" s="28" t="s">
        <v>578</v>
      </c>
      <c r="G47" s="28" t="s">
        <v>167</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35">
      <c r="E48" s="28" t="s">
        <v>579</v>
      </c>
      <c r="G48" s="28" t="s">
        <v>172</v>
      </c>
      <c r="H48" s="3"/>
      <c r="I48" s="3"/>
      <c r="J48" s="79"/>
      <c r="K48" s="98">
        <f t="shared" ref="K48:S48" si="1">IF(K47 = "", K40, K47 * K40)</f>
        <v>468.16479400749063</v>
      </c>
      <c r="L48" s="98">
        <f t="shared" si="1"/>
        <v>468.16479400749063</v>
      </c>
      <c r="M48" s="98">
        <f t="shared" si="1"/>
        <v>468.16479400749063</v>
      </c>
      <c r="N48" s="98">
        <f t="shared" si="1"/>
        <v>461.24610247043415</v>
      </c>
      <c r="O48" s="98">
        <f t="shared" si="1"/>
        <v>455.41322374269515</v>
      </c>
      <c r="P48" s="98">
        <f t="shared" si="1"/>
        <v>0</v>
      </c>
      <c r="Q48" s="98">
        <f t="shared" si="1"/>
        <v>451.46074639102284</v>
      </c>
      <c r="R48" s="98">
        <f t="shared" si="1"/>
        <v>441.24862771676783</v>
      </c>
      <c r="S48" s="98">
        <f t="shared" si="1"/>
        <v>425.99162330071943</v>
      </c>
      <c r="T48" s="79"/>
      <c r="U48" s="79"/>
      <c r="W48" s="3"/>
    </row>
    <row r="49" spans="2:23" x14ac:dyDescent="0.35">
      <c r="E49" s="28"/>
      <c r="G49" s="28"/>
      <c r="H49" s="3"/>
      <c r="I49" s="3"/>
      <c r="J49" s="3"/>
      <c r="K49" s="3"/>
      <c r="L49" s="3"/>
      <c r="M49" s="3"/>
      <c r="N49" s="3"/>
      <c r="O49" s="3"/>
      <c r="P49" s="3"/>
      <c r="Q49" s="3"/>
      <c r="R49" s="3"/>
      <c r="S49" s="3"/>
      <c r="T49" s="3"/>
      <c r="U49" s="3"/>
      <c r="V49" s="3"/>
      <c r="W49" s="3"/>
    </row>
    <row r="50" spans="2:23" x14ac:dyDescent="0.3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35">
      <c r="E51" s="32"/>
      <c r="F51" s="115"/>
      <c r="H51" s="3"/>
      <c r="J51" s="3"/>
      <c r="K51" s="3"/>
      <c r="L51" s="113"/>
      <c r="M51" s="113"/>
      <c r="N51" s="113"/>
      <c r="O51" s="113"/>
      <c r="P51" s="113"/>
      <c r="Q51" s="113"/>
      <c r="R51" s="113"/>
      <c r="S51" s="113"/>
      <c r="T51" s="113"/>
      <c r="U51" s="183"/>
    </row>
    <row r="52" spans="2:23" x14ac:dyDescent="0.35">
      <c r="D52" s="29" t="s">
        <v>580</v>
      </c>
      <c r="F52" s="115"/>
      <c r="H52" s="3"/>
      <c r="I52" s="3"/>
      <c r="J52" s="3"/>
      <c r="K52" s="3"/>
      <c r="L52" s="113"/>
      <c r="M52" s="113"/>
      <c r="N52" s="113"/>
      <c r="O52" s="113"/>
      <c r="P52" s="113"/>
      <c r="Q52" s="113"/>
      <c r="R52" s="113"/>
      <c r="S52" s="113"/>
      <c r="T52" s="113"/>
      <c r="U52" s="183"/>
    </row>
    <row r="53" spans="2:23" x14ac:dyDescent="0.35">
      <c r="D53" s="29"/>
      <c r="F53" s="115"/>
      <c r="H53" s="3"/>
      <c r="I53" s="3"/>
      <c r="J53" s="3"/>
      <c r="K53" s="3"/>
      <c r="L53" s="113"/>
      <c r="M53" s="113"/>
      <c r="N53" s="113"/>
      <c r="O53" s="113"/>
      <c r="P53" s="113"/>
      <c r="Q53" s="113"/>
      <c r="R53" s="113"/>
      <c r="S53" s="113"/>
      <c r="T53" s="113"/>
      <c r="U53" s="183"/>
    </row>
    <row r="54" spans="2:23" x14ac:dyDescent="0.35">
      <c r="E54" t="s">
        <v>581</v>
      </c>
      <c r="F54" s="177"/>
      <c r="G54" s="28" t="s">
        <v>277</v>
      </c>
      <c r="H54" s="3"/>
      <c r="I54" s="3"/>
      <c r="J54" s="79"/>
      <c r="K54" s="79"/>
      <c r="L54" s="120">
        <f>'Inputs by network level'!L33</f>
        <v>0</v>
      </c>
      <c r="M54" s="120">
        <f>'Inputs by network level'!M33</f>
        <v>0</v>
      </c>
      <c r="N54" s="120">
        <f>'Inputs by network level'!N33</f>
        <v>86970450.155083969</v>
      </c>
      <c r="O54" s="120">
        <f>'Inputs by network level'!O33</f>
        <v>78690541.971241668</v>
      </c>
      <c r="P54" s="120">
        <f>'Inputs by network level'!P33</f>
        <v>0</v>
      </c>
      <c r="Q54" s="120">
        <f>'Inputs by network level'!Q33</f>
        <v>325169331.90216249</v>
      </c>
      <c r="R54" s="120">
        <f>'Inputs by network level'!R33</f>
        <v>78740263.012503773</v>
      </c>
      <c r="S54" s="120">
        <f>'Inputs by network level'!S33</f>
        <v>186914343.686434</v>
      </c>
      <c r="T54" s="79"/>
      <c r="U54" s="79"/>
      <c r="W54" s="3"/>
    </row>
    <row r="55" spans="2:23" x14ac:dyDescent="0.35">
      <c r="E55" t="s">
        <v>582</v>
      </c>
      <c r="F55" s="177"/>
      <c r="G55" s="28" t="s">
        <v>583</v>
      </c>
      <c r="H55" s="3"/>
      <c r="I55" s="3"/>
      <c r="J55" s="79"/>
      <c r="K55" s="79"/>
      <c r="L55" s="98">
        <f t="shared" ref="L55:S55" si="2">IF(L48 = 0, 0, L54 / (L48 * thousand))</f>
        <v>0</v>
      </c>
      <c r="M55" s="98">
        <f t="shared" si="2"/>
        <v>0</v>
      </c>
      <c r="N55" s="98">
        <f t="shared" si="2"/>
        <v>188.55541475422822</v>
      </c>
      <c r="O55" s="98">
        <f t="shared" si="2"/>
        <v>172.78932158478821</v>
      </c>
      <c r="P55" s="98">
        <f t="shared" si="2"/>
        <v>0</v>
      </c>
      <c r="Q55" s="98">
        <f t="shared" si="2"/>
        <v>720.26047558191078</v>
      </c>
      <c r="R55" s="98">
        <f t="shared" si="2"/>
        <v>178.44874310418524</v>
      </c>
      <c r="S55" s="98">
        <f t="shared" si="2"/>
        <v>438.7746928875311</v>
      </c>
      <c r="T55" s="79"/>
      <c r="U55" s="79"/>
      <c r="W55" s="3"/>
    </row>
    <row r="56" spans="2:23" x14ac:dyDescent="0.35">
      <c r="E56" t="s">
        <v>584</v>
      </c>
      <c r="F56" s="177"/>
      <c r="G56" s="28" t="s">
        <v>585</v>
      </c>
      <c r="H56" s="3"/>
      <c r="I56" s="3" t="s">
        <v>154</v>
      </c>
      <c r="J56" s="79"/>
      <c r="K56" s="79"/>
      <c r="L56" s="98">
        <f t="shared" ref="L56:S56" si="3">L55 * $H$25</f>
        <v>0</v>
      </c>
      <c r="M56" s="98">
        <f t="shared" si="3"/>
        <v>0</v>
      </c>
      <c r="N56" s="98">
        <f t="shared" si="3"/>
        <v>9.0360862056750033</v>
      </c>
      <c r="O56" s="98">
        <f t="shared" si="3"/>
        <v>8.2805323161648161</v>
      </c>
      <c r="P56" s="98">
        <f t="shared" si="3"/>
        <v>0</v>
      </c>
      <c r="Q56" s="98">
        <f t="shared" si="3"/>
        <v>34.516832923530124</v>
      </c>
      <c r="R56" s="98">
        <f t="shared" si="3"/>
        <v>8.5517471247672674</v>
      </c>
      <c r="S56" s="98">
        <f t="shared" si="3"/>
        <v>21.027271770308033</v>
      </c>
      <c r="T56" s="79"/>
      <c r="U56" s="79"/>
      <c r="W56" s="3" t="s">
        <v>586</v>
      </c>
    </row>
    <row r="57" spans="2:23" x14ac:dyDescent="0.35">
      <c r="H57" s="3"/>
      <c r="I57" s="3"/>
      <c r="J57" s="127"/>
      <c r="K57" s="127"/>
      <c r="L57" s="127"/>
      <c r="M57" s="127"/>
      <c r="N57" s="127"/>
      <c r="O57" s="127"/>
      <c r="P57" s="127"/>
      <c r="Q57" s="127"/>
      <c r="R57" s="127"/>
      <c r="S57" s="127"/>
      <c r="T57" s="127"/>
      <c r="U57" s="127"/>
      <c r="W57" s="3"/>
    </row>
    <row r="58" spans="2:23" x14ac:dyDescent="0.35">
      <c r="B58" s="30" t="s">
        <v>587</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35">
      <c r="J59" s="89"/>
      <c r="K59" s="89"/>
      <c r="L59" s="89"/>
      <c r="M59" s="89"/>
      <c r="N59" s="89"/>
      <c r="O59" s="89"/>
      <c r="P59" s="89"/>
      <c r="Q59" s="89"/>
      <c r="R59" s="89"/>
      <c r="S59" s="89"/>
      <c r="T59" s="89"/>
      <c r="U59" s="89"/>
    </row>
    <row r="60" spans="2:23" x14ac:dyDescent="0.35">
      <c r="C60" s="29" t="s">
        <v>588</v>
      </c>
      <c r="J60" s="89"/>
      <c r="K60" s="89"/>
      <c r="L60" s="89"/>
      <c r="M60" s="89"/>
      <c r="N60" s="89"/>
      <c r="O60" s="89"/>
      <c r="P60" s="89"/>
      <c r="Q60" s="89"/>
      <c r="R60" s="89"/>
      <c r="S60" s="89"/>
      <c r="T60" s="89"/>
      <c r="U60" s="89"/>
    </row>
    <row r="61" spans="2:23" x14ac:dyDescent="0.35">
      <c r="J61" s="89"/>
      <c r="K61" s="89"/>
      <c r="L61" s="89"/>
      <c r="M61" s="89"/>
      <c r="N61" s="89"/>
      <c r="O61" s="89"/>
      <c r="P61" s="89"/>
      <c r="Q61" s="89"/>
      <c r="R61" s="89"/>
      <c r="S61" s="89"/>
      <c r="T61" s="89"/>
      <c r="U61" s="89"/>
    </row>
    <row r="62" spans="2:23" x14ac:dyDescent="0.3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35">
      <c r="D63" s="32"/>
      <c r="J63" s="89"/>
      <c r="K63" s="89"/>
      <c r="L63" s="89"/>
      <c r="M63" s="89"/>
      <c r="N63" s="89"/>
      <c r="O63" s="89"/>
      <c r="P63" s="89"/>
      <c r="Q63" s="89"/>
      <c r="R63" s="89"/>
      <c r="S63" s="89"/>
      <c r="T63" s="89"/>
      <c r="U63" s="89"/>
    </row>
    <row r="64" spans="2:23" x14ac:dyDescent="0.35">
      <c r="E64" t="s">
        <v>589</v>
      </c>
      <c r="G64" t="s">
        <v>172</v>
      </c>
      <c r="J64" s="79"/>
      <c r="K64" s="120">
        <f t="array" ref="K64:S64">TRANSPOSE('System peak demand'!H269:H277)</f>
        <v>881.56771074328503</v>
      </c>
      <c r="L64" s="120">
        <v>0</v>
      </c>
      <c r="M64" s="120">
        <v>0</v>
      </c>
      <c r="N64" s="120">
        <v>924.560222477445</v>
      </c>
      <c r="O64" s="120">
        <v>1105.1347594713861</v>
      </c>
      <c r="P64" s="120">
        <v>0</v>
      </c>
      <c r="Q64" s="120">
        <v>1214.5988903864259</v>
      </c>
      <c r="R64" s="120">
        <v>1176.5504453350538</v>
      </c>
      <c r="S64" s="120">
        <v>921.10825671017255</v>
      </c>
      <c r="T64" s="79"/>
      <c r="U64" s="79"/>
    </row>
    <row r="65" spans="3:24" x14ac:dyDescent="0.35">
      <c r="E65" s="28" t="s">
        <v>590</v>
      </c>
      <c r="F65" s="28"/>
      <c r="G65" s="28" t="s">
        <v>172</v>
      </c>
      <c r="H65" s="102"/>
      <c r="J65" s="98">
        <f>K64</f>
        <v>881.56771074328503</v>
      </c>
      <c r="K65" s="79"/>
      <c r="L65" s="79"/>
      <c r="M65" s="79"/>
      <c r="N65" s="79"/>
      <c r="O65" s="79"/>
      <c r="P65" s="79"/>
      <c r="Q65" s="79"/>
      <c r="R65" s="79"/>
      <c r="S65" s="79"/>
      <c r="T65" s="79"/>
      <c r="U65" s="79"/>
      <c r="W65" s="63"/>
      <c r="X65" s="63"/>
    </row>
    <row r="66" spans="3:24" x14ac:dyDescent="0.35">
      <c r="J66" s="89"/>
      <c r="K66" s="89"/>
      <c r="L66" s="89"/>
      <c r="M66" s="89"/>
      <c r="N66" s="89"/>
      <c r="O66" s="89"/>
      <c r="P66" s="89"/>
      <c r="Q66" s="89"/>
      <c r="R66" s="89"/>
      <c r="S66" s="89"/>
      <c r="T66" s="89"/>
      <c r="U66" s="89"/>
      <c r="X66" s="63"/>
    </row>
    <row r="67" spans="3:24" x14ac:dyDescent="0.35">
      <c r="E67" s="28" t="s">
        <v>589</v>
      </c>
      <c r="F67" s="28"/>
      <c r="G67" s="28" t="s">
        <v>520</v>
      </c>
      <c r="H67" s="102"/>
      <c r="J67" s="98">
        <f t="shared" ref="J67:S67" si="4">SUM(J64:J65) * thousand</f>
        <v>881567.71074328502</v>
      </c>
      <c r="K67" s="98">
        <f t="shared" si="4"/>
        <v>881567.71074328502</v>
      </c>
      <c r="L67" s="98">
        <f t="shared" si="4"/>
        <v>0</v>
      </c>
      <c r="M67" s="98">
        <f t="shared" si="4"/>
        <v>0</v>
      </c>
      <c r="N67" s="98">
        <f t="shared" si="4"/>
        <v>924560.22247744503</v>
      </c>
      <c r="O67" s="98">
        <f t="shared" si="4"/>
        <v>1105134.7594713862</v>
      </c>
      <c r="P67" s="98">
        <f t="shared" si="4"/>
        <v>0</v>
      </c>
      <c r="Q67" s="98">
        <f t="shared" si="4"/>
        <v>1214598.8903864259</v>
      </c>
      <c r="R67" s="98">
        <f t="shared" si="4"/>
        <v>1176550.4453350538</v>
      </c>
      <c r="S67" s="98">
        <f t="shared" si="4"/>
        <v>921108.25671017251</v>
      </c>
      <c r="T67" s="79"/>
      <c r="U67" s="79"/>
      <c r="W67" s="63"/>
      <c r="X67" s="63"/>
    </row>
    <row r="68" spans="3:24" x14ac:dyDescent="0.35">
      <c r="J68" s="89"/>
      <c r="K68" s="89"/>
      <c r="L68" s="89"/>
      <c r="M68" s="89"/>
      <c r="N68" s="89"/>
      <c r="O68" s="89"/>
      <c r="P68" s="89"/>
      <c r="Q68" s="89"/>
      <c r="R68" s="89"/>
      <c r="S68" s="89"/>
      <c r="T68" s="89"/>
      <c r="U68" s="89"/>
    </row>
    <row r="69" spans="3:24" x14ac:dyDescent="0.3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35">
      <c r="E70" s="32"/>
      <c r="J70" s="89"/>
      <c r="K70" s="89"/>
      <c r="L70" s="89"/>
      <c r="M70" s="89"/>
      <c r="N70" s="89"/>
      <c r="O70" s="89"/>
      <c r="P70" s="89"/>
      <c r="Q70" s="89"/>
      <c r="R70" s="89"/>
      <c r="S70" s="89"/>
      <c r="T70" s="89"/>
      <c r="U70" s="89"/>
      <c r="X70" s="63"/>
    </row>
    <row r="71" spans="3:24" x14ac:dyDescent="0.35">
      <c r="D71" s="29" t="s">
        <v>591</v>
      </c>
      <c r="J71" s="89"/>
      <c r="K71" s="89"/>
      <c r="L71" s="89"/>
      <c r="M71" s="89"/>
      <c r="N71" s="89"/>
      <c r="O71" s="89"/>
      <c r="P71" s="89"/>
      <c r="Q71" s="89"/>
      <c r="R71" s="89"/>
      <c r="S71" s="89"/>
      <c r="T71" s="89"/>
      <c r="U71" s="89"/>
      <c r="X71" s="63"/>
    </row>
    <row r="72" spans="3:24" x14ac:dyDescent="0.35">
      <c r="D72" s="29"/>
      <c r="J72" s="89"/>
      <c r="K72" s="89"/>
      <c r="L72" s="89"/>
      <c r="M72" s="89"/>
      <c r="N72" s="89"/>
      <c r="O72" s="89"/>
      <c r="P72" s="89"/>
      <c r="Q72" s="89"/>
      <c r="R72" s="89"/>
      <c r="S72" s="89"/>
      <c r="T72" s="89"/>
      <c r="U72" s="89"/>
      <c r="X72" s="63"/>
    </row>
    <row r="73" spans="3:24" x14ac:dyDescent="0.35">
      <c r="E73" s="28" t="s">
        <v>592</v>
      </c>
      <c r="F73" s="28"/>
      <c r="G73" s="28" t="s">
        <v>277</v>
      </c>
      <c r="J73" s="79"/>
      <c r="K73" s="79"/>
      <c r="L73" s="98">
        <f t="shared" ref="L73:S73" si="5">L67 * L55</f>
        <v>0</v>
      </c>
      <c r="M73" s="98">
        <f t="shared" si="5"/>
        <v>0</v>
      </c>
      <c r="N73" s="98">
        <f t="shared" si="5"/>
        <v>174330836.21449617</v>
      </c>
      <c r="O73" s="98">
        <f t="shared" si="5"/>
        <v>190955485.34882891</v>
      </c>
      <c r="P73" s="98">
        <f t="shared" si="5"/>
        <v>0</v>
      </c>
      <c r="Q73" s="98">
        <f t="shared" si="5"/>
        <v>874827574.43098819</v>
      </c>
      <c r="R73" s="98">
        <f t="shared" si="5"/>
        <v>209953948.16870975</v>
      </c>
      <c r="S73" s="98">
        <f t="shared" si="5"/>
        <v>404158992.45417511</v>
      </c>
      <c r="T73" s="79"/>
      <c r="U73" s="79"/>
      <c r="X73" s="63"/>
    </row>
    <row r="74" spans="3:24" x14ac:dyDescent="0.35">
      <c r="E74" s="28" t="s">
        <v>593</v>
      </c>
      <c r="F74" s="28"/>
      <c r="G74" s="28" t="s">
        <v>277</v>
      </c>
      <c r="J74" s="79"/>
      <c r="K74" s="79"/>
      <c r="L74" s="79"/>
      <c r="M74" s="79"/>
      <c r="N74" s="79"/>
      <c r="O74" s="79"/>
      <c r="P74" s="79"/>
      <c r="Q74" s="79"/>
      <c r="R74" s="79"/>
      <c r="S74" s="79"/>
      <c r="T74" s="120">
        <f>'Service model assets'!H33</f>
        <v>361568689.20108002</v>
      </c>
      <c r="U74" s="120">
        <f>'Service model assets'!H34</f>
        <v>34838142.074793302</v>
      </c>
      <c r="X74" s="63"/>
    </row>
    <row r="75" spans="3:24" x14ac:dyDescent="0.35">
      <c r="J75" s="89"/>
      <c r="K75" s="89"/>
      <c r="L75" s="89"/>
      <c r="M75" s="89"/>
      <c r="N75" s="89"/>
      <c r="O75" s="89"/>
      <c r="P75" s="89"/>
      <c r="Q75" s="89"/>
      <c r="R75" s="89"/>
      <c r="S75" s="89"/>
      <c r="T75" s="89"/>
      <c r="U75" s="89"/>
      <c r="X75" s="63"/>
    </row>
    <row r="76" spans="3:24" x14ac:dyDescent="0.35">
      <c r="E76" s="28" t="s">
        <v>594</v>
      </c>
      <c r="F76" s="28"/>
      <c r="G76" s="28" t="s">
        <v>277</v>
      </c>
      <c r="I76" t="s">
        <v>154</v>
      </c>
      <c r="J76" s="79"/>
      <c r="K76" s="98">
        <f t="shared" ref="K76:U76" si="6">K73 + K74</f>
        <v>0</v>
      </c>
      <c r="L76" s="98">
        <f t="shared" si="6"/>
        <v>0</v>
      </c>
      <c r="M76" s="98">
        <f t="shared" si="6"/>
        <v>0</v>
      </c>
      <c r="N76" s="98">
        <f t="shared" si="6"/>
        <v>174330836.21449617</v>
      </c>
      <c r="O76" s="98">
        <f t="shared" si="6"/>
        <v>190955485.34882891</v>
      </c>
      <c r="P76" s="98">
        <f t="shared" si="6"/>
        <v>0</v>
      </c>
      <c r="Q76" s="98">
        <f t="shared" si="6"/>
        <v>874827574.43098819</v>
      </c>
      <c r="R76" s="98">
        <f t="shared" si="6"/>
        <v>209953948.16870975</v>
      </c>
      <c r="S76" s="98">
        <f t="shared" si="6"/>
        <v>404158992.45417511</v>
      </c>
      <c r="T76" s="98">
        <f t="shared" si="6"/>
        <v>361568689.20108002</v>
      </c>
      <c r="U76" s="98">
        <f t="shared" si="6"/>
        <v>34838142.074793302</v>
      </c>
      <c r="W76" s="3" t="s">
        <v>595</v>
      </c>
      <c r="X76" s="63"/>
    </row>
    <row r="77" spans="3:24" x14ac:dyDescent="0.35">
      <c r="L77" s="63"/>
      <c r="M77" s="63"/>
      <c r="N77" s="63"/>
      <c r="O77" s="63"/>
      <c r="P77" s="63"/>
      <c r="Q77" s="63"/>
      <c r="R77" s="63"/>
      <c r="S77" s="63"/>
      <c r="T77" s="63"/>
      <c r="U77" s="63"/>
      <c r="X77" s="63"/>
    </row>
    <row r="78" spans="3:24" x14ac:dyDescent="0.35">
      <c r="E78" s="28" t="s">
        <v>596</v>
      </c>
      <c r="F78" s="28"/>
      <c r="G78" s="28" t="s">
        <v>167</v>
      </c>
      <c r="J78" s="180"/>
      <c r="K78" s="145">
        <f t="shared" ref="K78:U78" si="7">K76 / SUM($K$76:$U$76)</f>
        <v>0</v>
      </c>
      <c r="L78" s="145">
        <f t="shared" si="7"/>
        <v>0</v>
      </c>
      <c r="M78" s="145">
        <f t="shared" si="7"/>
        <v>0</v>
      </c>
      <c r="N78" s="145">
        <f t="shared" si="7"/>
        <v>7.7458556983951918E-2</v>
      </c>
      <c r="O78" s="145">
        <f t="shared" si="7"/>
        <v>8.4845209628269594E-2</v>
      </c>
      <c r="P78" s="145">
        <f t="shared" si="7"/>
        <v>0</v>
      </c>
      <c r="Q78" s="145">
        <f t="shared" si="7"/>
        <v>0.38870278486945292</v>
      </c>
      <c r="R78" s="145">
        <f t="shared" si="7"/>
        <v>9.3286593533126141E-2</v>
      </c>
      <c r="S78" s="145">
        <f t="shared" si="7"/>
        <v>0.17957564494826395</v>
      </c>
      <c r="T78" s="145">
        <f t="shared" si="7"/>
        <v>0.16065195076352085</v>
      </c>
      <c r="U78" s="145">
        <f t="shared" si="7"/>
        <v>1.5479259273414762E-2</v>
      </c>
      <c r="X78" s="63"/>
    </row>
    <row r="79" spans="3:24" x14ac:dyDescent="0.35">
      <c r="E79" s="32"/>
      <c r="L79" s="63"/>
      <c r="M79" s="63"/>
      <c r="N79" s="63"/>
      <c r="O79" s="63"/>
      <c r="P79" s="63"/>
      <c r="Q79" s="63"/>
      <c r="R79" s="63"/>
      <c r="S79" s="63"/>
      <c r="T79" s="63"/>
      <c r="U79" s="63"/>
    </row>
    <row r="80" spans="3:24" x14ac:dyDescent="0.3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35">
      <c r="E81" s="32"/>
      <c r="L81" s="63"/>
      <c r="M81" s="63"/>
      <c r="N81" s="63"/>
      <c r="O81" s="63"/>
      <c r="P81" s="63"/>
      <c r="Q81" s="63"/>
      <c r="R81" s="63"/>
      <c r="S81" s="63"/>
      <c r="T81" s="63"/>
      <c r="U81" s="63"/>
    </row>
    <row r="82" spans="3:23" x14ac:dyDescent="0.35">
      <c r="D82" s="29" t="s">
        <v>597</v>
      </c>
      <c r="L82" s="63"/>
      <c r="M82" s="63"/>
      <c r="N82" s="63"/>
      <c r="O82" s="63"/>
      <c r="P82" s="63"/>
      <c r="Q82" s="63"/>
      <c r="R82" s="63"/>
      <c r="S82" s="63"/>
      <c r="T82" s="63"/>
      <c r="U82" s="63"/>
    </row>
    <row r="83" spans="3:23" x14ac:dyDescent="0.35">
      <c r="D83" s="29"/>
      <c r="L83" s="63"/>
      <c r="M83" s="63"/>
      <c r="N83" s="63"/>
      <c r="O83" s="63"/>
      <c r="P83" s="63"/>
      <c r="Q83" s="63"/>
      <c r="R83" s="63"/>
      <c r="S83" s="63"/>
      <c r="T83" s="63"/>
      <c r="U83" s="63"/>
    </row>
    <row r="84" spans="3:23" x14ac:dyDescent="0.35">
      <c r="E84" s="28" t="s">
        <v>169</v>
      </c>
      <c r="F84" s="28"/>
      <c r="G84" s="28" t="s">
        <v>167</v>
      </c>
      <c r="H84" s="25">
        <f>'Fixed inputs'!H39</f>
        <v>0.6</v>
      </c>
      <c r="L84" s="63"/>
      <c r="M84" s="63"/>
      <c r="N84" s="63"/>
      <c r="O84" s="63"/>
      <c r="P84" s="63"/>
      <c r="Q84" s="63"/>
      <c r="R84" s="63"/>
      <c r="S84" s="63"/>
      <c r="T84" s="63"/>
      <c r="U84" s="63"/>
    </row>
    <row r="85" spans="3:23" x14ac:dyDescent="0.35">
      <c r="F85" s="28"/>
      <c r="G85" s="28"/>
      <c r="H85" s="25"/>
      <c r="L85" s="63"/>
      <c r="M85" s="63"/>
      <c r="N85" s="63"/>
      <c r="O85" s="63"/>
      <c r="P85" s="63"/>
      <c r="Q85" s="63"/>
      <c r="R85" s="63"/>
      <c r="S85" s="63"/>
      <c r="T85" s="63"/>
      <c r="U85" s="63"/>
    </row>
    <row r="86" spans="3:23" x14ac:dyDescent="0.35">
      <c r="E86" s="28" t="s">
        <v>360</v>
      </c>
      <c r="F86" s="28"/>
      <c r="G86" s="28" t="s">
        <v>357</v>
      </c>
      <c r="H86" s="120">
        <f>'General inputs'!H102</f>
        <v>29788631.737043757</v>
      </c>
      <c r="L86" s="63"/>
      <c r="M86" s="63"/>
      <c r="N86" s="63"/>
      <c r="O86" s="63"/>
      <c r="P86" s="63"/>
      <c r="Q86" s="63"/>
      <c r="R86" s="63"/>
      <c r="S86" s="63"/>
      <c r="T86" s="63"/>
      <c r="U86" s="63"/>
    </row>
    <row r="87" spans="3:23" x14ac:dyDescent="0.35">
      <c r="E87" s="28" t="s">
        <v>361</v>
      </c>
      <c r="F87" s="28"/>
      <c r="G87" s="28" t="s">
        <v>357</v>
      </c>
      <c r="H87" s="120">
        <f>'General inputs'!H103</f>
        <v>69231946.082638517</v>
      </c>
      <c r="L87" s="63"/>
      <c r="M87" s="63"/>
      <c r="N87" s="63"/>
      <c r="O87" s="63"/>
      <c r="P87" s="63"/>
      <c r="Q87" s="63"/>
      <c r="R87" s="63"/>
      <c r="S87" s="63"/>
      <c r="T87" s="63"/>
      <c r="U87" s="63"/>
    </row>
    <row r="88" spans="3:23" x14ac:dyDescent="0.35">
      <c r="E88" s="28" t="s">
        <v>362</v>
      </c>
      <c r="F88" s="28"/>
      <c r="G88" s="28" t="s">
        <v>357</v>
      </c>
      <c r="H88" s="120">
        <f>'General inputs'!H104</f>
        <v>24954705.247499991</v>
      </c>
      <c r="J88" s="63"/>
      <c r="L88" s="63"/>
      <c r="M88" s="63"/>
      <c r="N88" s="63"/>
      <c r="O88" s="63"/>
      <c r="P88" s="63"/>
      <c r="Q88" s="63"/>
      <c r="R88" s="63"/>
      <c r="S88" s="63"/>
      <c r="T88" s="63"/>
      <c r="U88" s="63"/>
    </row>
    <row r="89" spans="3:23" x14ac:dyDescent="0.35">
      <c r="E89" s="28"/>
      <c r="F89" s="28"/>
      <c r="G89" s="28"/>
      <c r="H89" s="120"/>
      <c r="J89" s="63"/>
      <c r="L89" s="63"/>
      <c r="M89" s="63"/>
      <c r="N89" s="63"/>
      <c r="O89" s="63"/>
      <c r="P89" s="63"/>
      <c r="Q89" s="63"/>
      <c r="R89" s="63"/>
      <c r="S89" s="63"/>
      <c r="T89" s="63"/>
      <c r="U89" s="63"/>
    </row>
    <row r="90" spans="3:23" x14ac:dyDescent="0.35">
      <c r="E90" s="28" t="s">
        <v>598</v>
      </c>
      <c r="F90" s="28"/>
      <c r="G90" s="28" t="s">
        <v>357</v>
      </c>
      <c r="H90" s="98">
        <f>H86 + H87 * H84 + H88</f>
        <v>96282504.634126857</v>
      </c>
      <c r="L90" s="63"/>
      <c r="M90" s="63"/>
      <c r="N90" s="63"/>
      <c r="O90" s="63"/>
      <c r="P90" s="63"/>
      <c r="Q90" s="63"/>
      <c r="R90" s="63"/>
      <c r="S90" s="63"/>
      <c r="T90" s="63"/>
      <c r="U90" s="63"/>
    </row>
    <row r="91" spans="3:23" x14ac:dyDescent="0.35">
      <c r="E91" s="32"/>
      <c r="L91" s="63"/>
      <c r="M91" s="63"/>
      <c r="N91" s="63"/>
      <c r="O91" s="63"/>
      <c r="P91" s="63"/>
      <c r="Q91" s="63"/>
      <c r="R91" s="63"/>
      <c r="S91" s="63"/>
      <c r="T91" s="63"/>
      <c r="U91" s="63"/>
    </row>
    <row r="92" spans="3:23" x14ac:dyDescent="0.3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35">
      <c r="E93" s="32"/>
      <c r="H93" s="63"/>
      <c r="L93" s="63"/>
      <c r="M93" s="63"/>
      <c r="N93" s="63"/>
      <c r="O93" s="63"/>
      <c r="P93" s="63"/>
      <c r="Q93" s="63"/>
      <c r="R93" s="63"/>
      <c r="S93" s="63"/>
      <c r="T93" s="63"/>
      <c r="U93" s="63"/>
    </row>
    <row r="94" spans="3:23" x14ac:dyDescent="0.35">
      <c r="D94" s="29" t="s">
        <v>599</v>
      </c>
      <c r="H94" s="63"/>
      <c r="L94" s="63"/>
      <c r="M94" s="63"/>
      <c r="N94" s="63"/>
      <c r="O94" s="63"/>
      <c r="P94" s="63"/>
      <c r="Q94" s="63"/>
      <c r="R94" s="63"/>
      <c r="S94" s="63"/>
      <c r="T94" s="63"/>
      <c r="U94" s="63"/>
    </row>
    <row r="95" spans="3:23" x14ac:dyDescent="0.35">
      <c r="D95" s="29" t="s">
        <v>600</v>
      </c>
      <c r="H95" s="63"/>
      <c r="L95" s="63"/>
      <c r="M95" s="63"/>
      <c r="N95" s="63"/>
      <c r="O95" s="63"/>
      <c r="P95" s="63"/>
      <c r="Q95" s="63"/>
      <c r="R95" s="63"/>
      <c r="S95" s="63"/>
      <c r="T95" s="63"/>
      <c r="U95" s="63"/>
    </row>
    <row r="96" spans="3:23" x14ac:dyDescent="0.35">
      <c r="D96" s="29"/>
      <c r="H96" s="63"/>
      <c r="L96" s="63"/>
      <c r="M96" s="63"/>
      <c r="N96" s="63"/>
      <c r="O96" s="63"/>
      <c r="P96" s="63"/>
      <c r="Q96" s="63"/>
      <c r="R96" s="63"/>
      <c r="S96" s="63"/>
      <c r="T96" s="63"/>
      <c r="U96" s="63"/>
    </row>
    <row r="97" spans="2:23" x14ac:dyDescent="0.35">
      <c r="E97" s="28" t="s">
        <v>601</v>
      </c>
      <c r="F97" s="28"/>
      <c r="G97" s="28" t="s">
        <v>357</v>
      </c>
      <c r="I97" t="s">
        <v>154</v>
      </c>
      <c r="J97" s="79"/>
      <c r="K97" s="98">
        <f t="shared" ref="K97:U97" si="8">K78 * $H$90</f>
        <v>0</v>
      </c>
      <c r="L97" s="98">
        <f t="shared" si="8"/>
        <v>0</v>
      </c>
      <c r="M97" s="98">
        <f t="shared" si="8"/>
        <v>0</v>
      </c>
      <c r="N97" s="98">
        <f t="shared" si="8"/>
        <v>7457903.8717601299</v>
      </c>
      <c r="O97" s="98">
        <f t="shared" si="8"/>
        <v>8169109.2892173314</v>
      </c>
      <c r="P97" s="98">
        <f t="shared" si="8"/>
        <v>0</v>
      </c>
      <c r="Q97" s="98">
        <f t="shared" si="8"/>
        <v>37425277.685491115</v>
      </c>
      <c r="R97" s="98">
        <f t="shared" si="8"/>
        <v>8981866.8741551265</v>
      </c>
      <c r="S97" s="98">
        <f t="shared" si="8"/>
        <v>17289992.866907541</v>
      </c>
      <c r="T97" s="98">
        <f t="shared" si="8"/>
        <v>15467972.193870215</v>
      </c>
      <c r="U97" s="98">
        <f t="shared" si="8"/>
        <v>1490381.8527254078</v>
      </c>
      <c r="W97" s="3" t="s">
        <v>602</v>
      </c>
    </row>
    <row r="98" spans="2:23" x14ac:dyDescent="0.35">
      <c r="E98" s="28" t="s">
        <v>356</v>
      </c>
      <c r="F98" s="28"/>
      <c r="G98" s="28" t="s">
        <v>357</v>
      </c>
      <c r="H98" s="63"/>
      <c r="I98" s="63"/>
      <c r="J98" s="120">
        <f>'General inputs'!$H$97</f>
        <v>21960035.67327955</v>
      </c>
      <c r="K98" s="79"/>
      <c r="L98" s="79"/>
      <c r="M98" s="79"/>
      <c r="N98" s="79"/>
      <c r="O98" s="79"/>
      <c r="P98" s="79"/>
      <c r="Q98" s="79"/>
      <c r="R98" s="79"/>
      <c r="S98" s="79"/>
      <c r="T98" s="79"/>
      <c r="U98" s="79"/>
    </row>
    <row r="99" spans="2:23" x14ac:dyDescent="0.35">
      <c r="J99" s="89"/>
      <c r="K99" s="89"/>
      <c r="L99" s="89"/>
      <c r="M99" s="89"/>
      <c r="N99" s="89"/>
      <c r="O99" s="89"/>
      <c r="P99" s="89"/>
      <c r="Q99" s="89"/>
      <c r="R99" s="89"/>
      <c r="S99" s="89"/>
      <c r="T99" s="89"/>
      <c r="U99" s="89"/>
    </row>
    <row r="100" spans="2:23" x14ac:dyDescent="0.35">
      <c r="E100" s="28" t="s">
        <v>603</v>
      </c>
      <c r="F100" s="28"/>
      <c r="G100" s="28" t="s">
        <v>604</v>
      </c>
      <c r="I100" t="s">
        <v>154</v>
      </c>
      <c r="J100" s="98">
        <f t="shared" ref="J100:S100" si="9">IF(J$67 = 0, 0, SUM(J97:J98) / J$67)</f>
        <v>24.91020871756313</v>
      </c>
      <c r="K100" s="98">
        <f t="shared" si="9"/>
        <v>0</v>
      </c>
      <c r="L100" s="98">
        <f t="shared" si="9"/>
        <v>0</v>
      </c>
      <c r="M100" s="98">
        <f t="shared" si="9"/>
        <v>0</v>
      </c>
      <c r="N100" s="98">
        <f t="shared" si="9"/>
        <v>8.0664338465438021</v>
      </c>
      <c r="O100" s="98">
        <f t="shared" si="9"/>
        <v>7.3919576044507211</v>
      </c>
      <c r="P100" s="98">
        <f t="shared" si="9"/>
        <v>0</v>
      </c>
      <c r="Q100" s="98">
        <f t="shared" si="9"/>
        <v>30.812869978486663</v>
      </c>
      <c r="R100" s="98">
        <f t="shared" si="9"/>
        <v>7.6340686536371187</v>
      </c>
      <c r="S100" s="98">
        <f t="shared" si="9"/>
        <v>18.770858627041765</v>
      </c>
      <c r="T100" s="79"/>
      <c r="U100" s="79"/>
      <c r="W100" s="3" t="s">
        <v>605</v>
      </c>
    </row>
    <row r="101" spans="2:23" x14ac:dyDescent="0.35">
      <c r="J101" s="89"/>
      <c r="K101" s="89"/>
      <c r="L101" s="89"/>
      <c r="M101" s="89"/>
      <c r="N101" s="89"/>
      <c r="O101" s="89"/>
      <c r="P101" s="89"/>
      <c r="Q101" s="89"/>
      <c r="R101" s="89"/>
      <c r="S101" s="89"/>
      <c r="T101" s="89"/>
      <c r="U101" s="89"/>
    </row>
    <row r="102" spans="2:23" x14ac:dyDescent="0.35">
      <c r="B102" s="30" t="s">
        <v>606</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35">
      <c r="B103" s="29"/>
      <c r="J103" s="89"/>
      <c r="K103" s="89"/>
      <c r="L103" s="89"/>
      <c r="M103" s="89"/>
      <c r="N103" s="89"/>
      <c r="O103" s="89"/>
      <c r="P103" s="89"/>
      <c r="Q103" s="89"/>
      <c r="R103" s="89"/>
      <c r="S103" s="89"/>
      <c r="T103" s="89"/>
      <c r="U103" s="89"/>
    </row>
    <row r="104" spans="2:23" x14ac:dyDescent="0.3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35">
      <c r="B105" s="29"/>
      <c r="J105" s="89"/>
      <c r="K105" s="89"/>
      <c r="L105" s="89"/>
      <c r="M105" s="89"/>
      <c r="N105" s="89"/>
      <c r="O105" s="89"/>
      <c r="P105" s="89"/>
      <c r="Q105" s="89"/>
      <c r="R105" s="89"/>
      <c r="S105" s="89"/>
      <c r="T105" s="89"/>
      <c r="U105" s="89"/>
    </row>
    <row r="106" spans="2:23" x14ac:dyDescent="0.35">
      <c r="B106" s="29"/>
      <c r="D106" s="29" t="s">
        <v>607</v>
      </c>
      <c r="J106" s="89"/>
      <c r="K106" s="89"/>
      <c r="L106" s="89"/>
      <c r="M106" s="89"/>
      <c r="N106" s="89"/>
      <c r="O106" s="89"/>
      <c r="P106" s="89"/>
      <c r="Q106" s="89"/>
      <c r="R106" s="89"/>
      <c r="S106" s="89"/>
      <c r="T106" s="89"/>
      <c r="U106" s="89"/>
    </row>
    <row r="107" spans="2:23" x14ac:dyDescent="0.35">
      <c r="B107" s="29"/>
      <c r="D107" s="29"/>
      <c r="J107" s="89"/>
      <c r="K107" s="89"/>
      <c r="L107" s="89"/>
      <c r="M107" s="89"/>
      <c r="N107" s="89"/>
      <c r="O107" s="89"/>
      <c r="P107" s="89"/>
      <c r="Q107" s="89"/>
      <c r="R107" s="89"/>
      <c r="S107" s="89"/>
      <c r="T107" s="89"/>
      <c r="U107" s="89"/>
    </row>
    <row r="108" spans="2:23" x14ac:dyDescent="0.35">
      <c r="B108" s="29"/>
      <c r="E108" s="28" t="s">
        <v>594</v>
      </c>
      <c r="F108" s="28"/>
      <c r="G108" s="28" t="s">
        <v>277</v>
      </c>
      <c r="J108" s="79"/>
      <c r="K108" s="121">
        <f t="shared" ref="K108:U108" si="10">K76</f>
        <v>0</v>
      </c>
      <c r="L108" s="121">
        <f t="shared" si="10"/>
        <v>0</v>
      </c>
      <c r="M108" s="121">
        <f t="shared" si="10"/>
        <v>0</v>
      </c>
      <c r="N108" s="121">
        <f t="shared" si="10"/>
        <v>174330836.21449617</v>
      </c>
      <c r="O108" s="121">
        <f t="shared" si="10"/>
        <v>190955485.34882891</v>
      </c>
      <c r="P108" s="121">
        <f t="shared" si="10"/>
        <v>0</v>
      </c>
      <c r="Q108" s="121">
        <f t="shared" si="10"/>
        <v>874827574.43098819</v>
      </c>
      <c r="R108" s="121">
        <f t="shared" si="10"/>
        <v>209953948.16870975</v>
      </c>
      <c r="S108" s="121">
        <f t="shared" si="10"/>
        <v>404158992.45417511</v>
      </c>
      <c r="T108" s="121">
        <f t="shared" si="10"/>
        <v>361568689.20108002</v>
      </c>
      <c r="U108" s="121">
        <f t="shared" si="10"/>
        <v>34838142.074793302</v>
      </c>
    </row>
    <row r="109" spans="2:23" x14ac:dyDescent="0.35">
      <c r="B109" s="29"/>
    </row>
    <row r="110" spans="2:23" x14ac:dyDescent="0.3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35">
      <c r="B111" s="29"/>
    </row>
    <row r="112" spans="2:23" x14ac:dyDescent="0.35">
      <c r="B112" s="29"/>
      <c r="D112" s="29" t="s">
        <v>608</v>
      </c>
    </row>
    <row r="113" spans="2:24" x14ac:dyDescent="0.35">
      <c r="B113" s="29"/>
      <c r="D113" s="29"/>
    </row>
    <row r="114" spans="2:24" x14ac:dyDescent="0.35">
      <c r="E114" t="s">
        <v>584</v>
      </c>
      <c r="F114" s="177"/>
      <c r="G114" s="28" t="s">
        <v>604</v>
      </c>
      <c r="H114" s="3"/>
      <c r="I114" s="3"/>
      <c r="J114" s="79"/>
      <c r="K114" s="79"/>
      <c r="L114" s="121">
        <f t="shared" ref="L114:S114" si="11">L56</f>
        <v>0</v>
      </c>
      <c r="M114" s="121">
        <f t="shared" si="11"/>
        <v>0</v>
      </c>
      <c r="N114" s="121">
        <f t="shared" si="11"/>
        <v>9.0360862056750033</v>
      </c>
      <c r="O114" s="121">
        <f t="shared" si="11"/>
        <v>8.2805323161648161</v>
      </c>
      <c r="P114" s="121">
        <f t="shared" si="11"/>
        <v>0</v>
      </c>
      <c r="Q114" s="121">
        <f t="shared" si="11"/>
        <v>34.516832923530124</v>
      </c>
      <c r="R114" s="121">
        <f t="shared" si="11"/>
        <v>8.5517471247672674</v>
      </c>
      <c r="S114" s="121">
        <f t="shared" si="11"/>
        <v>21.027271770308033</v>
      </c>
      <c r="T114" s="79"/>
      <c r="U114" s="79"/>
    </row>
    <row r="115" spans="2:24" x14ac:dyDescent="0.35">
      <c r="B115" s="29"/>
      <c r="E115" t="s">
        <v>603</v>
      </c>
      <c r="F115" s="28"/>
      <c r="G115" s="28" t="s">
        <v>604</v>
      </c>
      <c r="J115" s="121">
        <f t="shared" ref="J115:S115" si="12">J100</f>
        <v>24.91020871756313</v>
      </c>
      <c r="K115" s="121">
        <f t="shared" si="12"/>
        <v>0</v>
      </c>
      <c r="L115" s="121">
        <f t="shared" si="12"/>
        <v>0</v>
      </c>
      <c r="M115" s="121">
        <f t="shared" si="12"/>
        <v>0</v>
      </c>
      <c r="N115" s="121">
        <f t="shared" si="12"/>
        <v>8.0664338465438021</v>
      </c>
      <c r="O115" s="121">
        <f t="shared" si="12"/>
        <v>7.3919576044507211</v>
      </c>
      <c r="P115" s="121">
        <f t="shared" si="12"/>
        <v>0</v>
      </c>
      <c r="Q115" s="121">
        <f t="shared" si="12"/>
        <v>30.812869978486663</v>
      </c>
      <c r="R115" s="121">
        <f t="shared" si="12"/>
        <v>7.6340686536371187</v>
      </c>
      <c r="S115" s="121">
        <f t="shared" si="12"/>
        <v>18.770858627041765</v>
      </c>
      <c r="T115" s="79"/>
      <c r="U115" s="79"/>
    </row>
    <row r="116" spans="2:24" x14ac:dyDescent="0.35">
      <c r="B116" s="29"/>
    </row>
    <row r="117" spans="2:24" x14ac:dyDescent="0.3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35">
      <c r="B118" s="29"/>
    </row>
    <row r="119" spans="2:24" x14ac:dyDescent="0.35">
      <c r="B119" s="29"/>
      <c r="D119" s="29" t="s">
        <v>609</v>
      </c>
    </row>
    <row r="120" spans="2:24" x14ac:dyDescent="0.35">
      <c r="B120" s="29"/>
      <c r="D120" s="29"/>
    </row>
    <row r="121" spans="2:24" x14ac:dyDescent="0.35">
      <c r="B121" s="29"/>
      <c r="C121" s="32"/>
      <c r="E121" t="s">
        <v>568</v>
      </c>
      <c r="F121" s="28"/>
      <c r="G121" s="28" t="s">
        <v>167</v>
      </c>
      <c r="H121" s="186">
        <f>H25</f>
        <v>4.792270865014963E-2</v>
      </c>
    </row>
    <row r="122" spans="2:24" x14ac:dyDescent="0.35">
      <c r="B122" s="29"/>
      <c r="C122" s="32"/>
      <c r="E122" t="s">
        <v>598</v>
      </c>
      <c r="F122" s="28"/>
      <c r="G122" s="28" t="s">
        <v>357</v>
      </c>
      <c r="H122" s="121">
        <f>H90</f>
        <v>96282504.634126857</v>
      </c>
    </row>
    <row r="123" spans="2:24" x14ac:dyDescent="0.35">
      <c r="E123" t="s">
        <v>594</v>
      </c>
      <c r="F123" s="28"/>
      <c r="G123" s="28" t="s">
        <v>277</v>
      </c>
      <c r="H123" s="121">
        <f>SUM(K76:U76)</f>
        <v>2250633667.8930712</v>
      </c>
      <c r="X123" s="63"/>
    </row>
    <row r="124" spans="2:24" x14ac:dyDescent="0.35">
      <c r="B124" s="29"/>
      <c r="C124" s="32"/>
    </row>
    <row r="125" spans="2:24" x14ac:dyDescent="0.35">
      <c r="B125" s="30" t="s">
        <v>231</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35">
      <c r="E127" t="s">
        <v>232</v>
      </c>
      <c r="G127" s="6" t="s">
        <v>55</v>
      </c>
      <c r="H127" s="187">
        <f t="array" ref="H127">SUM(IF(ISERROR(H23:U123), 1))</f>
        <v>0</v>
      </c>
    </row>
    <row r="129" spans="2:23" x14ac:dyDescent="0.35">
      <c r="E129" t="s">
        <v>610</v>
      </c>
      <c r="G129" s="6" t="s">
        <v>55</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35">
      <c r="E131" t="s">
        <v>239</v>
      </c>
      <c r="G131" s="6" t="s">
        <v>55</v>
      </c>
      <c r="H131" s="103">
        <f>H127 + H129</f>
        <v>0</v>
      </c>
    </row>
    <row r="133" spans="2:23" x14ac:dyDescent="0.35">
      <c r="B133" s="30" t="s">
        <v>106</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84" width="24.54296875" hidden="1" customWidth="1"/>
    <col min="285" max="16384" width="8.7265625" hidden="1"/>
  </cols>
  <sheetData>
    <row r="1" spans="1:27" s="1" customFormat="1" x14ac:dyDescent="0.35">
      <c r="A1" s="1" t="str">
        <f ca="1">MID(CELL("filename",A1),FIND("]",CELL("filename",A1))+1,255)</f>
        <v>Initial unit rates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H241 &amp; IF(H241 = 1, " issue", " issues") &amp;" identified in checks on this sheet"</f>
        <v>0 issues identified in checks on this sheet</v>
      </c>
      <c r="B4" s="13"/>
      <c r="C4" s="13"/>
      <c r="D4" s="13"/>
      <c r="E4" s="13"/>
      <c r="F4" s="13"/>
      <c r="G4" s="13"/>
      <c r="H4" s="14"/>
      <c r="I4" s="14"/>
    </row>
    <row r="5" spans="1:27"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6" spans="1:27" x14ac:dyDescent="0.35">
      <c r="H6" s="3"/>
      <c r="I6" s="3"/>
      <c r="J6" s="3"/>
      <c r="K6" s="3"/>
      <c r="L6" s="3"/>
      <c r="M6" s="3"/>
      <c r="N6" s="3"/>
      <c r="P6" s="3"/>
    </row>
    <row r="7" spans="1:27"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5">
      <c r="C9" s="29" t="s">
        <v>611</v>
      </c>
      <c r="E9" s="28"/>
    </row>
    <row r="11" spans="1:27" x14ac:dyDescent="0.35">
      <c r="B11" s="30" t="s">
        <v>612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3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35">
      <c r="C14" s="32"/>
      <c r="D14" s="32"/>
      <c r="E14" s="32"/>
      <c r="J14" s="63"/>
      <c r="L14" s="63"/>
    </row>
    <row r="15" spans="1:27" x14ac:dyDescent="0.35">
      <c r="D15" s="29" t="s">
        <v>613</v>
      </c>
    </row>
    <row r="17" spans="5:27" x14ac:dyDescent="0.35">
      <c r="E17" s="32" t="s">
        <v>614</v>
      </c>
      <c r="G17" s="28"/>
      <c r="H17" s="3"/>
      <c r="I17" s="3" t="s">
        <v>154</v>
      </c>
      <c r="AA17" t="s">
        <v>615</v>
      </c>
    </row>
    <row r="18" spans="5:27" x14ac:dyDescent="0.35">
      <c r="F18" s="190" t="s">
        <v>189</v>
      </c>
      <c r="G18" s="64" t="s">
        <v>585</v>
      </c>
      <c r="H18" s="83"/>
    </row>
    <row r="19" spans="5:27" x14ac:dyDescent="0.35">
      <c r="F19" s="191" t="s">
        <v>191</v>
      </c>
      <c r="G19" s="28" t="s">
        <v>585</v>
      </c>
      <c r="H19" s="79"/>
    </row>
    <row r="20" spans="5:27" x14ac:dyDescent="0.35">
      <c r="F20" s="191" t="s">
        <v>192</v>
      </c>
      <c r="G20" s="28" t="s">
        <v>585</v>
      </c>
      <c r="H20" s="194">
        <f t="array" ref="H20:H27">TRANSPOSE('Unit costs'!L114:S114)</f>
        <v>0</v>
      </c>
    </row>
    <row r="21" spans="5:27" x14ac:dyDescent="0.35">
      <c r="F21" s="191" t="s">
        <v>193</v>
      </c>
      <c r="G21" s="28" t="s">
        <v>585</v>
      </c>
      <c r="H21" s="194">
        <v>0</v>
      </c>
    </row>
    <row r="22" spans="5:27" x14ac:dyDescent="0.35">
      <c r="F22" s="191" t="s">
        <v>194</v>
      </c>
      <c r="G22" s="28" t="s">
        <v>585</v>
      </c>
      <c r="H22" s="194">
        <v>9.0360862056750033</v>
      </c>
    </row>
    <row r="23" spans="5:27" x14ac:dyDescent="0.35">
      <c r="F23" s="191" t="s">
        <v>195</v>
      </c>
      <c r="G23" s="28" t="s">
        <v>585</v>
      </c>
      <c r="H23" s="194">
        <v>8.2805323161648161</v>
      </c>
    </row>
    <row r="24" spans="5:27" x14ac:dyDescent="0.35">
      <c r="F24" s="191" t="s">
        <v>196</v>
      </c>
      <c r="G24" s="28" t="s">
        <v>585</v>
      </c>
      <c r="H24" s="194">
        <v>0</v>
      </c>
    </row>
    <row r="25" spans="5:27" x14ac:dyDescent="0.35">
      <c r="F25" s="191" t="s">
        <v>197</v>
      </c>
      <c r="G25" s="28" t="s">
        <v>585</v>
      </c>
      <c r="H25" s="194">
        <v>34.516832923530124</v>
      </c>
    </row>
    <row r="26" spans="5:27" x14ac:dyDescent="0.35">
      <c r="F26" s="191" t="s">
        <v>198</v>
      </c>
      <c r="G26" s="28" t="s">
        <v>585</v>
      </c>
      <c r="H26" s="194">
        <v>8.5517471247672674</v>
      </c>
    </row>
    <row r="27" spans="5:27" x14ac:dyDescent="0.35">
      <c r="F27" s="192" t="s">
        <v>199</v>
      </c>
      <c r="G27" s="67" t="s">
        <v>585</v>
      </c>
      <c r="H27" s="195">
        <v>21.027271770308033</v>
      </c>
    </row>
    <row r="28" spans="5:27" x14ac:dyDescent="0.35">
      <c r="F28" s="191"/>
      <c r="G28" s="28"/>
      <c r="H28" s="120"/>
    </row>
    <row r="29" spans="5:27" x14ac:dyDescent="0.35">
      <c r="E29" s="32" t="s">
        <v>616</v>
      </c>
      <c r="G29" s="28"/>
      <c r="H29" s="89"/>
    </row>
    <row r="30" spans="5:27" x14ac:dyDescent="0.35">
      <c r="F30" s="190" t="s">
        <v>189</v>
      </c>
      <c r="G30" s="64" t="s">
        <v>604</v>
      </c>
      <c r="H30" s="193">
        <f t="array" ref="H30:H39">TRANSPOSE('Unit costs'!J115:S115)</f>
        <v>24.91020871756313</v>
      </c>
    </row>
    <row r="31" spans="5:27" x14ac:dyDescent="0.35">
      <c r="F31" s="191" t="s">
        <v>191</v>
      </c>
      <c r="G31" s="28" t="s">
        <v>604</v>
      </c>
      <c r="H31" s="194">
        <v>0</v>
      </c>
    </row>
    <row r="32" spans="5:27" x14ac:dyDescent="0.35">
      <c r="F32" s="191" t="s">
        <v>192</v>
      </c>
      <c r="G32" s="28" t="s">
        <v>604</v>
      </c>
      <c r="H32" s="194">
        <v>0</v>
      </c>
    </row>
    <row r="33" spans="5:16" x14ac:dyDescent="0.35">
      <c r="F33" s="191" t="s">
        <v>193</v>
      </c>
      <c r="G33" s="28" t="s">
        <v>604</v>
      </c>
      <c r="H33" s="194">
        <v>0</v>
      </c>
      <c r="J33" s="63"/>
      <c r="K33" s="63"/>
      <c r="L33" s="63"/>
      <c r="M33" s="63"/>
      <c r="N33" s="63"/>
    </row>
    <row r="34" spans="5:16" x14ac:dyDescent="0.35">
      <c r="F34" s="191" t="s">
        <v>194</v>
      </c>
      <c r="G34" s="28" t="s">
        <v>604</v>
      </c>
      <c r="H34" s="194">
        <v>8.0664338465438021</v>
      </c>
      <c r="J34" s="63"/>
      <c r="K34" s="63"/>
      <c r="L34" s="63"/>
      <c r="M34" s="63"/>
      <c r="N34" s="63"/>
    </row>
    <row r="35" spans="5:16" x14ac:dyDescent="0.35">
      <c r="F35" s="191" t="s">
        <v>195</v>
      </c>
      <c r="G35" s="28" t="s">
        <v>604</v>
      </c>
      <c r="H35" s="194">
        <v>7.3919576044507211</v>
      </c>
      <c r="J35" s="63"/>
      <c r="K35" s="63"/>
      <c r="L35" s="63"/>
      <c r="M35" s="63"/>
      <c r="N35" s="63"/>
    </row>
    <row r="36" spans="5:16" x14ac:dyDescent="0.35">
      <c r="F36" s="191" t="s">
        <v>196</v>
      </c>
      <c r="G36" s="28" t="s">
        <v>604</v>
      </c>
      <c r="H36" s="194">
        <v>0</v>
      </c>
      <c r="J36" s="63"/>
      <c r="K36" s="63"/>
      <c r="L36" s="63"/>
      <c r="M36" s="63"/>
      <c r="N36" s="63"/>
    </row>
    <row r="37" spans="5:16" x14ac:dyDescent="0.35">
      <c r="F37" s="191" t="s">
        <v>197</v>
      </c>
      <c r="G37" s="28" t="s">
        <v>604</v>
      </c>
      <c r="H37" s="194">
        <v>30.812869978486663</v>
      </c>
      <c r="J37" s="63"/>
      <c r="K37" s="63"/>
      <c r="L37" s="63"/>
      <c r="M37" s="63"/>
      <c r="N37" s="63"/>
      <c r="O37" s="63"/>
    </row>
    <row r="38" spans="5:16" x14ac:dyDescent="0.35">
      <c r="F38" s="191" t="s">
        <v>198</v>
      </c>
      <c r="G38" s="28" t="s">
        <v>604</v>
      </c>
      <c r="H38" s="194">
        <v>7.6340686536371187</v>
      </c>
      <c r="J38" s="63"/>
      <c r="K38" s="63"/>
      <c r="L38" s="63"/>
      <c r="M38" s="63"/>
      <c r="N38" s="63"/>
      <c r="O38" s="63"/>
    </row>
    <row r="39" spans="5:16" x14ac:dyDescent="0.35">
      <c r="F39" s="192" t="s">
        <v>199</v>
      </c>
      <c r="G39" s="67" t="s">
        <v>604</v>
      </c>
      <c r="H39" s="195">
        <v>18.770858627041765</v>
      </c>
      <c r="J39" s="63"/>
      <c r="K39" s="63"/>
      <c r="L39" s="63"/>
      <c r="M39" s="63"/>
      <c r="N39" s="63"/>
      <c r="O39" s="63"/>
    </row>
    <row r="40" spans="5:16" x14ac:dyDescent="0.35">
      <c r="G40" s="28"/>
      <c r="H40" s="89"/>
      <c r="J40" s="63"/>
      <c r="K40" s="63"/>
      <c r="L40" s="63"/>
      <c r="M40" s="63"/>
      <c r="N40" s="63"/>
      <c r="O40" s="63"/>
    </row>
    <row r="41" spans="5:16" x14ac:dyDescent="0.35">
      <c r="E41" s="32" t="s">
        <v>617</v>
      </c>
      <c r="F41" s="32"/>
      <c r="H41" s="127"/>
      <c r="I41" s="3"/>
      <c r="J41" s="63"/>
      <c r="K41" s="63"/>
      <c r="L41" s="63"/>
      <c r="M41" s="63"/>
      <c r="N41" s="63"/>
      <c r="O41" s="63"/>
      <c r="P41" s="3"/>
    </row>
    <row r="42" spans="5:16" x14ac:dyDescent="0.35">
      <c r="E42" s="29" t="s">
        <v>618</v>
      </c>
      <c r="F42" s="29"/>
      <c r="H42" s="127"/>
      <c r="I42" s="3"/>
      <c r="J42" s="63"/>
      <c r="K42" s="63"/>
      <c r="L42" s="63"/>
      <c r="M42" s="63"/>
      <c r="N42" s="63"/>
      <c r="O42" s="63"/>
      <c r="P42" s="3"/>
    </row>
    <row r="43" spans="5:16" x14ac:dyDescent="0.35">
      <c r="F43" s="23" t="s">
        <v>189</v>
      </c>
      <c r="G43" s="23" t="s">
        <v>283</v>
      </c>
      <c r="H43" s="124">
        <f t="array" ref="H43:H52">TRANSPOSE('Load &amp; loss characteristics'!J29:S29)</f>
        <v>1</v>
      </c>
      <c r="I43" s="3"/>
      <c r="J43" s="63"/>
      <c r="K43" s="63"/>
      <c r="L43" s="63"/>
      <c r="M43" s="63"/>
      <c r="N43" s="63"/>
      <c r="O43" s="63"/>
    </row>
    <row r="44" spans="5:16" x14ac:dyDescent="0.35">
      <c r="F44" t="s">
        <v>191</v>
      </c>
      <c r="G44" t="s">
        <v>283</v>
      </c>
      <c r="H44" s="120">
        <v>1</v>
      </c>
      <c r="I44" s="3"/>
      <c r="J44" s="63"/>
      <c r="K44" s="63"/>
      <c r="L44" s="63"/>
      <c r="M44" s="63"/>
      <c r="N44" s="63"/>
      <c r="O44" s="63"/>
    </row>
    <row r="45" spans="5:16" x14ac:dyDescent="0.35">
      <c r="F45" t="s">
        <v>192</v>
      </c>
      <c r="G45" t="s">
        <v>283</v>
      </c>
      <c r="H45" s="120">
        <v>1</v>
      </c>
      <c r="I45" s="3"/>
      <c r="J45" s="63"/>
      <c r="K45" s="63"/>
      <c r="L45" s="63"/>
      <c r="M45" s="63"/>
      <c r="N45" s="63"/>
      <c r="O45" s="63"/>
    </row>
    <row r="46" spans="5:16" x14ac:dyDescent="0.35">
      <c r="F46" t="s">
        <v>193</v>
      </c>
      <c r="G46" t="s">
        <v>283</v>
      </c>
      <c r="H46" s="120">
        <v>1</v>
      </c>
      <c r="J46" s="63"/>
      <c r="K46" s="63"/>
      <c r="L46" s="63"/>
      <c r="M46" s="63"/>
      <c r="N46" s="63"/>
      <c r="O46" s="63"/>
    </row>
    <row r="47" spans="5:16" x14ac:dyDescent="0.35">
      <c r="F47" t="s">
        <v>194</v>
      </c>
      <c r="G47" t="s">
        <v>283</v>
      </c>
      <c r="H47" s="120">
        <v>1.0149999999999999</v>
      </c>
      <c r="I47" s="3"/>
      <c r="J47" s="63"/>
      <c r="K47" s="63"/>
      <c r="L47" s="63"/>
      <c r="M47" s="63"/>
      <c r="N47" s="63"/>
      <c r="O47" s="63"/>
    </row>
    <row r="48" spans="5:16" x14ac:dyDescent="0.35">
      <c r="F48" t="s">
        <v>195</v>
      </c>
      <c r="G48" t="s">
        <v>283</v>
      </c>
      <c r="H48" s="120">
        <v>1.028</v>
      </c>
      <c r="I48" s="3"/>
      <c r="J48" s="63"/>
      <c r="K48" s="63"/>
      <c r="L48" s="63"/>
      <c r="M48" s="63"/>
      <c r="N48" s="63"/>
      <c r="O48" s="63"/>
    </row>
    <row r="49" spans="4:25" x14ac:dyDescent="0.35">
      <c r="F49" t="s">
        <v>196</v>
      </c>
      <c r="G49" t="s">
        <v>283</v>
      </c>
      <c r="H49" s="120">
        <v>1.028</v>
      </c>
      <c r="I49" s="3"/>
      <c r="J49" s="63"/>
      <c r="K49" s="63"/>
      <c r="L49" s="63"/>
      <c r="M49" s="63"/>
      <c r="N49" s="63"/>
      <c r="O49" s="63"/>
    </row>
    <row r="50" spans="4:25" x14ac:dyDescent="0.35">
      <c r="F50" t="s">
        <v>197</v>
      </c>
      <c r="G50" t="s">
        <v>283</v>
      </c>
      <c r="H50" s="120">
        <v>1.0369999999999999</v>
      </c>
      <c r="J50" s="63"/>
      <c r="K50" s="63"/>
      <c r="L50" s="63"/>
      <c r="M50" s="63"/>
      <c r="N50" s="63"/>
      <c r="O50" s="63"/>
    </row>
    <row r="51" spans="4:25" x14ac:dyDescent="0.35">
      <c r="F51" t="s">
        <v>198</v>
      </c>
      <c r="G51" t="s">
        <v>283</v>
      </c>
      <c r="H51" s="120">
        <v>1.0609999999999999</v>
      </c>
      <c r="I51" s="3"/>
      <c r="J51" s="63"/>
      <c r="K51" s="63"/>
      <c r="L51" s="63"/>
      <c r="M51" s="63"/>
      <c r="N51" s="63"/>
      <c r="O51" s="63"/>
    </row>
    <row r="52" spans="4:25" x14ac:dyDescent="0.35">
      <c r="F52" s="37" t="s">
        <v>199</v>
      </c>
      <c r="G52" s="37" t="s">
        <v>283</v>
      </c>
      <c r="H52" s="125">
        <v>1.099</v>
      </c>
      <c r="I52" s="3"/>
      <c r="J52" s="63"/>
      <c r="K52" s="63"/>
      <c r="L52" s="63"/>
      <c r="M52" s="63"/>
      <c r="N52" s="63"/>
      <c r="O52" s="63"/>
    </row>
    <row r="53" spans="4:25" x14ac:dyDescent="0.35">
      <c r="G53" s="28"/>
      <c r="H53" s="3"/>
      <c r="I53" s="3"/>
      <c r="J53" s="63"/>
      <c r="K53" s="63"/>
      <c r="L53" s="63"/>
      <c r="M53" s="63"/>
      <c r="N53" s="63"/>
      <c r="O53" s="63"/>
    </row>
    <row r="54" spans="4:25" x14ac:dyDescent="0.35">
      <c r="E54" s="32" t="s">
        <v>408</v>
      </c>
      <c r="F54" s="32"/>
      <c r="J54" s="63"/>
      <c r="L54" s="63"/>
    </row>
    <row r="55" spans="4:25" x14ac:dyDescent="0.35">
      <c r="D55" s="32"/>
      <c r="E55" s="32"/>
      <c r="F55" s="190" t="s">
        <v>189</v>
      </c>
      <c r="G55" s="23" t="s">
        <v>283</v>
      </c>
      <c r="H55" s="23"/>
      <c r="I55" s="23"/>
      <c r="J55" s="193">
        <f t="array" ref="J55:Y64">TRANSPOSE('Load &amp; loss characteristics'!J145:S160)</f>
        <v>1.099</v>
      </c>
      <c r="K55" s="193">
        <v>1.099</v>
      </c>
      <c r="L55" s="193">
        <v>1.099</v>
      </c>
      <c r="M55" s="193">
        <v>1.099</v>
      </c>
      <c r="N55" s="193">
        <v>1.099</v>
      </c>
      <c r="O55" s="193">
        <v>1.0609999999999999</v>
      </c>
      <c r="P55" s="193">
        <v>1.0369999999999999</v>
      </c>
      <c r="Q55" s="193">
        <v>1.099</v>
      </c>
      <c r="R55" s="193">
        <v>-1.099</v>
      </c>
      <c r="S55" s="193">
        <v>-1.0609999999999999</v>
      </c>
      <c r="T55" s="193">
        <v>-1.099</v>
      </c>
      <c r="U55" s="193">
        <v>-1.099</v>
      </c>
      <c r="V55" s="193">
        <v>-1.0609999999999999</v>
      </c>
      <c r="W55" s="193">
        <v>-1.0609999999999999</v>
      </c>
      <c r="X55" s="193">
        <v>-1.0369999999999999</v>
      </c>
      <c r="Y55" s="193">
        <v>-1.0369999999999999</v>
      </c>
    </row>
    <row r="56" spans="4:25" x14ac:dyDescent="0.35">
      <c r="D56" s="32"/>
      <c r="E56" s="32"/>
      <c r="F56" s="191" t="s">
        <v>191</v>
      </c>
      <c r="G56" t="s">
        <v>283</v>
      </c>
      <c r="J56" s="194">
        <v>1.099</v>
      </c>
      <c r="K56" s="194">
        <v>1.099</v>
      </c>
      <c r="L56" s="194">
        <v>1.099</v>
      </c>
      <c r="M56" s="194">
        <v>1.099</v>
      </c>
      <c r="N56" s="194">
        <v>1.099</v>
      </c>
      <c r="O56" s="194">
        <v>1.0609999999999999</v>
      </c>
      <c r="P56" s="194">
        <v>1.0369999999999999</v>
      </c>
      <c r="Q56" s="194">
        <v>1.099</v>
      </c>
      <c r="R56" s="194">
        <v>-1.099</v>
      </c>
      <c r="S56" s="194">
        <v>-1.0609999999999999</v>
      </c>
      <c r="T56" s="194">
        <v>-1.099</v>
      </c>
      <c r="U56" s="194">
        <v>-1.099</v>
      </c>
      <c r="V56" s="194">
        <v>-1.0609999999999999</v>
      </c>
      <c r="W56" s="194">
        <v>-1.0609999999999999</v>
      </c>
      <c r="X56" s="194">
        <v>-1.0369999999999999</v>
      </c>
      <c r="Y56" s="194">
        <v>-1.0369999999999999</v>
      </c>
    </row>
    <row r="57" spans="4:25" x14ac:dyDescent="0.35">
      <c r="D57" s="32"/>
      <c r="E57" s="32"/>
      <c r="F57" s="191" t="s">
        <v>192</v>
      </c>
      <c r="G57" t="s">
        <v>283</v>
      </c>
      <c r="J57" s="194">
        <v>1.099</v>
      </c>
      <c r="K57" s="194">
        <v>1.099</v>
      </c>
      <c r="L57" s="194">
        <v>1.099</v>
      </c>
      <c r="M57" s="194">
        <v>1.099</v>
      </c>
      <c r="N57" s="194">
        <v>1.099</v>
      </c>
      <c r="O57" s="194">
        <v>1.0609999999999999</v>
      </c>
      <c r="P57" s="194">
        <v>1.0369999999999999</v>
      </c>
      <c r="Q57" s="194">
        <v>1.099</v>
      </c>
      <c r="R57" s="194">
        <v>-1.099</v>
      </c>
      <c r="S57" s="194">
        <v>-1.0609999999999999</v>
      </c>
      <c r="T57" s="194">
        <v>-1.099</v>
      </c>
      <c r="U57" s="194">
        <v>-1.099</v>
      </c>
      <c r="V57" s="194">
        <v>-1.0609999999999999</v>
      </c>
      <c r="W57" s="194">
        <v>-1.0609999999999999</v>
      </c>
      <c r="X57" s="194">
        <v>-1.0369999999999999</v>
      </c>
      <c r="Y57" s="194">
        <v>-1.0369999999999999</v>
      </c>
    </row>
    <row r="58" spans="4:25" x14ac:dyDescent="0.35">
      <c r="D58" s="32"/>
      <c r="E58" s="32"/>
      <c r="F58" s="191" t="s">
        <v>193</v>
      </c>
      <c r="G58" t="s">
        <v>283</v>
      </c>
      <c r="J58" s="194">
        <v>1.099</v>
      </c>
      <c r="K58" s="194">
        <v>1.099</v>
      </c>
      <c r="L58" s="194">
        <v>1.099</v>
      </c>
      <c r="M58" s="194">
        <v>1.099</v>
      </c>
      <c r="N58" s="194">
        <v>1.099</v>
      </c>
      <c r="O58" s="194">
        <v>1.0609999999999999</v>
      </c>
      <c r="P58" s="194">
        <v>1.0369999999999999</v>
      </c>
      <c r="Q58" s="194">
        <v>1.099</v>
      </c>
      <c r="R58" s="194">
        <v>-1.099</v>
      </c>
      <c r="S58" s="194">
        <v>-1.0609999999999999</v>
      </c>
      <c r="T58" s="194">
        <v>-1.099</v>
      </c>
      <c r="U58" s="194">
        <v>-1.099</v>
      </c>
      <c r="V58" s="194">
        <v>-1.0609999999999999</v>
      </c>
      <c r="W58" s="194">
        <v>-1.0609999999999999</v>
      </c>
      <c r="X58" s="194">
        <v>-1.0369999999999999</v>
      </c>
      <c r="Y58" s="194">
        <v>-1.0369999999999999</v>
      </c>
    </row>
    <row r="59" spans="4:25" x14ac:dyDescent="0.35">
      <c r="D59" s="32"/>
      <c r="E59" s="32"/>
      <c r="F59" s="191" t="s">
        <v>194</v>
      </c>
      <c r="G59" t="s">
        <v>283</v>
      </c>
      <c r="J59" s="194">
        <v>1.099</v>
      </c>
      <c r="K59" s="194">
        <v>1.099</v>
      </c>
      <c r="L59" s="194">
        <v>1.099</v>
      </c>
      <c r="M59" s="194">
        <v>1.099</v>
      </c>
      <c r="N59" s="194">
        <v>1.099</v>
      </c>
      <c r="O59" s="194">
        <v>1.0609999999999999</v>
      </c>
      <c r="P59" s="194">
        <v>1.0369999999999999</v>
      </c>
      <c r="Q59" s="194">
        <v>1.099</v>
      </c>
      <c r="R59" s="194">
        <v>-1.099</v>
      </c>
      <c r="S59" s="194">
        <v>-1.0609999999999999</v>
      </c>
      <c r="T59" s="194">
        <v>-1.099</v>
      </c>
      <c r="U59" s="194">
        <v>-1.099</v>
      </c>
      <c r="V59" s="194">
        <v>-1.0609999999999999</v>
      </c>
      <c r="W59" s="194">
        <v>-1.0609999999999999</v>
      </c>
      <c r="X59" s="194">
        <v>-1.0369999999999999</v>
      </c>
      <c r="Y59" s="194">
        <v>-1.0369999999999999</v>
      </c>
    </row>
    <row r="60" spans="4:25" x14ac:dyDescent="0.35">
      <c r="D60" s="32"/>
      <c r="E60" s="32"/>
      <c r="F60" s="191" t="s">
        <v>195</v>
      </c>
      <c r="G60" t="s">
        <v>283</v>
      </c>
      <c r="J60" s="194">
        <v>1.099</v>
      </c>
      <c r="K60" s="194">
        <v>1.099</v>
      </c>
      <c r="L60" s="194">
        <v>1.099</v>
      </c>
      <c r="M60" s="194">
        <v>1.099</v>
      </c>
      <c r="N60" s="194">
        <v>1.099</v>
      </c>
      <c r="O60" s="194">
        <v>1.0609999999999999</v>
      </c>
      <c r="P60" s="194">
        <v>1.0369999999999999</v>
      </c>
      <c r="Q60" s="194">
        <v>1.099</v>
      </c>
      <c r="R60" s="194">
        <v>-1.099</v>
      </c>
      <c r="S60" s="194">
        <v>-1.0609999999999999</v>
      </c>
      <c r="T60" s="194">
        <v>-1.099</v>
      </c>
      <c r="U60" s="194">
        <v>-1.099</v>
      </c>
      <c r="V60" s="194">
        <v>-1.0609999999999999</v>
      </c>
      <c r="W60" s="194">
        <v>-1.0609999999999999</v>
      </c>
      <c r="X60" s="194">
        <v>-1.0369999999999999</v>
      </c>
      <c r="Y60" s="194">
        <v>-1.0369999999999999</v>
      </c>
    </row>
    <row r="61" spans="4:25" x14ac:dyDescent="0.35">
      <c r="D61" s="32"/>
      <c r="E61" s="32"/>
      <c r="F61" s="191" t="s">
        <v>196</v>
      </c>
      <c r="G61" t="s">
        <v>283</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35">
      <c r="D62" s="32"/>
      <c r="E62" s="32"/>
      <c r="F62" s="191" t="s">
        <v>197</v>
      </c>
      <c r="G62" t="s">
        <v>283</v>
      </c>
      <c r="J62" s="194">
        <v>1.099</v>
      </c>
      <c r="K62" s="194">
        <v>1.099</v>
      </c>
      <c r="L62" s="194">
        <v>1.099</v>
      </c>
      <c r="M62" s="194">
        <v>1.099</v>
      </c>
      <c r="N62" s="194">
        <v>1.099</v>
      </c>
      <c r="O62" s="194">
        <v>1.0609999999999999</v>
      </c>
      <c r="P62" s="194">
        <v>1.0369999999999999</v>
      </c>
      <c r="Q62" s="194">
        <v>1.099</v>
      </c>
      <c r="R62" s="194">
        <v>-1.099</v>
      </c>
      <c r="S62" s="194">
        <v>-1.0609999999999999</v>
      </c>
      <c r="T62" s="194">
        <v>-1.099</v>
      </c>
      <c r="U62" s="194">
        <v>-1.099</v>
      </c>
      <c r="V62" s="194">
        <v>-1.0609999999999999</v>
      </c>
      <c r="W62" s="194">
        <v>-1.0609999999999999</v>
      </c>
      <c r="X62" s="194">
        <v>0</v>
      </c>
      <c r="Y62" s="194">
        <v>0</v>
      </c>
    </row>
    <row r="63" spans="4:25" x14ac:dyDescent="0.35">
      <c r="D63" s="32"/>
      <c r="E63" s="32"/>
      <c r="F63" s="191" t="s">
        <v>198</v>
      </c>
      <c r="G63" t="s">
        <v>283</v>
      </c>
      <c r="J63" s="194">
        <v>1.099</v>
      </c>
      <c r="K63" s="194">
        <v>1.099</v>
      </c>
      <c r="L63" s="194">
        <v>1.099</v>
      </c>
      <c r="M63" s="194">
        <v>1.099</v>
      </c>
      <c r="N63" s="194">
        <v>1.099</v>
      </c>
      <c r="O63" s="194">
        <v>1.0609999999999999</v>
      </c>
      <c r="P63" s="194">
        <v>0</v>
      </c>
      <c r="Q63" s="194">
        <v>1.099</v>
      </c>
      <c r="R63" s="194">
        <v>-1.099</v>
      </c>
      <c r="S63" s="194">
        <v>0</v>
      </c>
      <c r="T63" s="194">
        <v>-1.099</v>
      </c>
      <c r="U63" s="194">
        <v>-1.099</v>
      </c>
      <c r="V63" s="194">
        <v>0</v>
      </c>
      <c r="W63" s="194">
        <v>0</v>
      </c>
      <c r="X63" s="194">
        <v>0</v>
      </c>
      <c r="Y63" s="194">
        <v>0</v>
      </c>
    </row>
    <row r="64" spans="4:25" x14ac:dyDescent="0.35">
      <c r="D64" s="32"/>
      <c r="E64" s="32"/>
      <c r="F64" s="192" t="s">
        <v>199</v>
      </c>
      <c r="G64" s="37" t="s">
        <v>283</v>
      </c>
      <c r="H64" s="37"/>
      <c r="I64" s="37"/>
      <c r="J64" s="195">
        <v>1.099</v>
      </c>
      <c r="K64" s="195">
        <v>1.099</v>
      </c>
      <c r="L64" s="195">
        <v>1.099</v>
      </c>
      <c r="M64" s="195">
        <v>1.099</v>
      </c>
      <c r="N64" s="195">
        <v>1.099</v>
      </c>
      <c r="O64" s="195">
        <v>0</v>
      </c>
      <c r="P64" s="195">
        <v>0</v>
      </c>
      <c r="Q64" s="195">
        <v>1.099</v>
      </c>
      <c r="R64" s="195">
        <v>0</v>
      </c>
      <c r="S64" s="195">
        <v>0</v>
      </c>
      <c r="T64" s="195">
        <v>0</v>
      </c>
      <c r="U64" s="195">
        <v>0</v>
      </c>
      <c r="V64" s="195">
        <v>0</v>
      </c>
      <c r="W64" s="195">
        <v>0</v>
      </c>
      <c r="X64" s="195">
        <v>0</v>
      </c>
      <c r="Y64" s="195">
        <v>0</v>
      </c>
    </row>
    <row r="65" spans="3:25" x14ac:dyDescent="0.35">
      <c r="D65" s="32"/>
      <c r="E65" s="32"/>
      <c r="J65" s="163"/>
      <c r="K65" s="163"/>
      <c r="L65" s="163"/>
      <c r="M65" s="163"/>
      <c r="N65" s="163"/>
      <c r="O65" s="163"/>
      <c r="P65" s="163"/>
      <c r="Q65" s="163"/>
      <c r="R65" s="163"/>
      <c r="S65" s="163"/>
      <c r="T65" s="163"/>
      <c r="U65" s="163"/>
      <c r="V65" s="163"/>
      <c r="W65" s="163"/>
      <c r="X65" s="163"/>
      <c r="Y65" s="163"/>
    </row>
    <row r="66" spans="3:25" x14ac:dyDescent="0.35">
      <c r="E66" s="32" t="s">
        <v>416</v>
      </c>
      <c r="J66" s="163"/>
      <c r="K66" s="163"/>
      <c r="L66" s="163"/>
      <c r="M66" s="163"/>
      <c r="N66" s="163"/>
      <c r="O66" s="163"/>
      <c r="P66" s="163"/>
      <c r="Q66" s="163"/>
      <c r="R66" s="163"/>
      <c r="S66" s="163"/>
      <c r="T66" s="163"/>
      <c r="U66" s="163"/>
      <c r="V66" s="163"/>
      <c r="W66" s="163"/>
      <c r="X66" s="163"/>
      <c r="Y66" s="163"/>
    </row>
    <row r="67" spans="3:25" x14ac:dyDescent="0.35">
      <c r="D67" s="32"/>
      <c r="E67" s="32"/>
      <c r="F67" s="190" t="s">
        <v>189</v>
      </c>
      <c r="G67" s="64" t="s">
        <v>167</v>
      </c>
      <c r="H67" s="23"/>
      <c r="I67" s="23"/>
      <c r="J67" s="196"/>
      <c r="K67" s="196"/>
      <c r="L67" s="196"/>
      <c r="M67" s="196"/>
      <c r="N67" s="196"/>
      <c r="O67" s="196"/>
      <c r="P67" s="196"/>
      <c r="Q67" s="196"/>
      <c r="R67" s="196"/>
      <c r="S67" s="196"/>
      <c r="T67" s="196"/>
      <c r="U67" s="196"/>
      <c r="V67" s="196"/>
      <c r="W67" s="196"/>
      <c r="X67" s="196"/>
      <c r="Y67" s="196"/>
    </row>
    <row r="68" spans="3:25" x14ac:dyDescent="0.35">
      <c r="D68" s="32"/>
      <c r="E68" s="32"/>
      <c r="F68" s="191" t="s">
        <v>191</v>
      </c>
      <c r="G68" s="28" t="s">
        <v>167</v>
      </c>
      <c r="J68" s="197"/>
      <c r="K68" s="197"/>
      <c r="L68" s="197"/>
      <c r="M68" s="197"/>
      <c r="N68" s="197"/>
      <c r="O68" s="197"/>
      <c r="P68" s="197"/>
      <c r="Q68" s="197"/>
      <c r="R68" s="197"/>
      <c r="S68" s="197"/>
      <c r="T68" s="197"/>
      <c r="U68" s="197"/>
      <c r="V68" s="197"/>
      <c r="W68" s="197"/>
      <c r="X68" s="197"/>
      <c r="Y68" s="197"/>
    </row>
    <row r="69" spans="3:25" x14ac:dyDescent="0.35">
      <c r="D69" s="32"/>
      <c r="E69" s="32"/>
      <c r="F69" s="191" t="s">
        <v>192</v>
      </c>
      <c r="G69" s="28" t="s">
        <v>167</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35">
      <c r="D70" s="32"/>
      <c r="E70" s="32"/>
      <c r="F70" s="191" t="s">
        <v>193</v>
      </c>
      <c r="G70" s="28" t="s">
        <v>167</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row>
    <row r="71" spans="3:25" x14ac:dyDescent="0.35">
      <c r="D71" s="32"/>
      <c r="E71" s="32"/>
      <c r="F71" s="191" t="s">
        <v>194</v>
      </c>
      <c r="G71" s="28" t="s">
        <v>167</v>
      </c>
      <c r="J71" s="194">
        <v>6.4338235294117696E-3</v>
      </c>
      <c r="K71" s="194">
        <v>6.4338235294117696E-3</v>
      </c>
      <c r="L71" s="194">
        <v>6.4338235294117696E-3</v>
      </c>
      <c r="M71" s="194">
        <v>6.4338235294117696E-3</v>
      </c>
      <c r="N71" s="194">
        <v>6.4338235294117696E-3</v>
      </c>
      <c r="O71" s="194">
        <v>6.4338235294117696E-3</v>
      </c>
      <c r="P71" s="194">
        <v>1.16978609625668E-2</v>
      </c>
      <c r="Q71" s="194">
        <v>6.4338235294117696E-3</v>
      </c>
      <c r="R71" s="194">
        <v>6.4338235294117696E-3</v>
      </c>
      <c r="S71" s="194">
        <v>6.4338235294117696E-3</v>
      </c>
      <c r="T71" s="194">
        <v>6.4338235294117696E-3</v>
      </c>
      <c r="U71" s="194">
        <v>6.4338235294117696E-3</v>
      </c>
      <c r="V71" s="194">
        <v>6.4338235294117696E-3</v>
      </c>
      <c r="W71" s="194">
        <v>6.4338235294117696E-3</v>
      </c>
      <c r="X71" s="194">
        <v>1.16978609625668E-2</v>
      </c>
      <c r="Y71" s="194">
        <v>1.16978609625668E-2</v>
      </c>
    </row>
    <row r="72" spans="3:25" x14ac:dyDescent="0.35">
      <c r="D72" s="32"/>
      <c r="E72" s="32"/>
      <c r="F72" s="191" t="s">
        <v>195</v>
      </c>
      <c r="G72" s="28" t="s">
        <v>167</v>
      </c>
      <c r="J72" s="194">
        <v>4.1617122473246101E-3</v>
      </c>
      <c r="K72" s="194">
        <v>4.1617122473246101E-3</v>
      </c>
      <c r="L72" s="194">
        <v>4.1617122473246101E-3</v>
      </c>
      <c r="M72" s="194">
        <v>4.1617122473246101E-3</v>
      </c>
      <c r="N72" s="194">
        <v>4.1617122473246101E-3</v>
      </c>
      <c r="O72" s="194">
        <v>4.1617122473246101E-3</v>
      </c>
      <c r="P72" s="194">
        <v>7.56674954059021E-3</v>
      </c>
      <c r="Q72" s="194">
        <v>4.1617122473246101E-3</v>
      </c>
      <c r="R72" s="194">
        <v>4.1617122473246101E-3</v>
      </c>
      <c r="S72" s="194">
        <v>4.1617122473246101E-3</v>
      </c>
      <c r="T72" s="194">
        <v>4.1617122473246101E-3</v>
      </c>
      <c r="U72" s="194">
        <v>4.1617122473246101E-3</v>
      </c>
      <c r="V72" s="194">
        <v>4.1617122473246101E-3</v>
      </c>
      <c r="W72" s="194">
        <v>4.1617122473246101E-3</v>
      </c>
      <c r="X72" s="194">
        <v>7.56674954059021E-3</v>
      </c>
      <c r="Y72" s="194">
        <v>7.56674954059021E-3</v>
      </c>
    </row>
    <row r="73" spans="3:25" x14ac:dyDescent="0.35">
      <c r="D73" s="32"/>
      <c r="E73" s="32"/>
      <c r="F73" s="191" t="s">
        <v>196</v>
      </c>
      <c r="G73" s="28" t="s">
        <v>167</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35">
      <c r="D74" s="32"/>
      <c r="E74" s="32"/>
      <c r="F74" s="191" t="s">
        <v>197</v>
      </c>
      <c r="G74" s="28" t="s">
        <v>167</v>
      </c>
      <c r="J74" s="194">
        <v>0.42522380337704002</v>
      </c>
      <c r="K74" s="194">
        <v>0.42522380337704002</v>
      </c>
      <c r="L74" s="194">
        <v>0.42522380337704002</v>
      </c>
      <c r="M74" s="194">
        <v>0.42522380337704002</v>
      </c>
      <c r="N74" s="194">
        <v>0.42522380337704002</v>
      </c>
      <c r="O74" s="194">
        <v>0.42522380337704002</v>
      </c>
      <c r="P74" s="194">
        <v>0.38896884219615702</v>
      </c>
      <c r="Q74" s="194">
        <v>0.42522380337704002</v>
      </c>
      <c r="R74" s="194">
        <v>0.42522380337704002</v>
      </c>
      <c r="S74" s="194">
        <v>0.42522380337704002</v>
      </c>
      <c r="T74" s="194">
        <v>0.42522380337704002</v>
      </c>
      <c r="U74" s="194">
        <v>0.42522380337704002</v>
      </c>
      <c r="V74" s="194">
        <v>0.42522380337704002</v>
      </c>
      <c r="W74" s="194">
        <v>0.42522380337704002</v>
      </c>
      <c r="X74" s="194">
        <v>0.38896884219615702</v>
      </c>
      <c r="Y74" s="194">
        <v>0.38896884219615702</v>
      </c>
    </row>
    <row r="75" spans="3:25" x14ac:dyDescent="0.35">
      <c r="D75" s="32"/>
      <c r="E75" s="32"/>
      <c r="F75" s="191" t="s">
        <v>198</v>
      </c>
      <c r="G75" s="28" t="s">
        <v>167</v>
      </c>
      <c r="J75" s="194">
        <v>0.78260869565217395</v>
      </c>
      <c r="K75" s="194">
        <v>0.78260869565217395</v>
      </c>
      <c r="L75" s="194">
        <v>0.78260869565217395</v>
      </c>
      <c r="M75" s="194">
        <v>0.78260869565217395</v>
      </c>
      <c r="N75" s="194">
        <v>0.78260869565217395</v>
      </c>
      <c r="O75" s="194">
        <v>0.78260869565217395</v>
      </c>
      <c r="P75" s="194">
        <v>0</v>
      </c>
      <c r="Q75" s="194">
        <v>0.78260869565217395</v>
      </c>
      <c r="R75" s="194">
        <v>0.78260869565217395</v>
      </c>
      <c r="S75" s="194">
        <v>0.78260869565217395</v>
      </c>
      <c r="T75" s="194">
        <v>0.78260869565217395</v>
      </c>
      <c r="U75" s="194">
        <v>0.78260869565217395</v>
      </c>
      <c r="V75" s="194">
        <v>0.78260869565217395</v>
      </c>
      <c r="W75" s="194">
        <v>0.78260869565217395</v>
      </c>
      <c r="X75" s="194">
        <v>0</v>
      </c>
      <c r="Y75" s="194">
        <v>0</v>
      </c>
    </row>
    <row r="76" spans="3:25" x14ac:dyDescent="0.35">
      <c r="D76" s="32"/>
      <c r="E76" s="32"/>
      <c r="F76" s="192" t="s">
        <v>199</v>
      </c>
      <c r="G76" s="67" t="s">
        <v>167</v>
      </c>
      <c r="H76" s="37"/>
      <c r="I76" s="37"/>
      <c r="J76" s="195">
        <v>0.966742252456538</v>
      </c>
      <c r="K76" s="195">
        <v>0.966742252456538</v>
      </c>
      <c r="L76" s="195">
        <v>0.966742252456538</v>
      </c>
      <c r="M76" s="195">
        <v>0.966742252456538</v>
      </c>
      <c r="N76" s="195">
        <v>0.966742252456538</v>
      </c>
      <c r="O76" s="195">
        <v>0</v>
      </c>
      <c r="P76" s="195">
        <v>0</v>
      </c>
      <c r="Q76" s="195">
        <v>0.966742252456538</v>
      </c>
      <c r="R76" s="195">
        <v>0.966742252456538</v>
      </c>
      <c r="S76" s="195">
        <v>0</v>
      </c>
      <c r="T76" s="195">
        <v>0.966742252456538</v>
      </c>
      <c r="U76" s="195">
        <v>0.966742252456538</v>
      </c>
      <c r="V76" s="195">
        <v>0</v>
      </c>
      <c r="W76" s="195">
        <v>0</v>
      </c>
      <c r="X76" s="195">
        <v>0</v>
      </c>
      <c r="Y76" s="195">
        <v>0</v>
      </c>
    </row>
    <row r="77" spans="3:25" x14ac:dyDescent="0.35">
      <c r="C77" s="32"/>
      <c r="D77" s="32"/>
      <c r="J77" s="163"/>
      <c r="K77" s="163"/>
      <c r="L77" s="163"/>
      <c r="M77" s="163"/>
      <c r="N77" s="163"/>
      <c r="O77" s="163"/>
      <c r="P77" s="163"/>
      <c r="Q77" s="163"/>
      <c r="R77" s="163"/>
      <c r="S77" s="163"/>
      <c r="T77" s="163"/>
      <c r="U77" s="163"/>
      <c r="V77" s="163"/>
      <c r="W77" s="163"/>
      <c r="X77" s="163"/>
      <c r="Y77" s="163"/>
    </row>
    <row r="78" spans="3:25" x14ac:dyDescent="0.35">
      <c r="E78" s="28" t="s">
        <v>472</v>
      </c>
      <c r="F78" s="28"/>
      <c r="G78" s="28" t="s">
        <v>283</v>
      </c>
      <c r="J78" s="194">
        <f>'Pseudo-load coefficients'!J267</f>
        <v>1.6359587478243445</v>
      </c>
      <c r="K78" s="194">
        <f>'Pseudo-load coefficients'!K267</f>
        <v>1.6359587478243445</v>
      </c>
      <c r="L78" s="194">
        <f>'Pseudo-load coefficients'!L267</f>
        <v>1.6811514476629494</v>
      </c>
      <c r="M78" s="194">
        <f>'Pseudo-load coefficients'!M267</f>
        <v>1.6811514476629494</v>
      </c>
      <c r="N78" s="194">
        <f>'Pseudo-load coefficients'!N267</f>
        <v>1.4090513396312287</v>
      </c>
      <c r="O78" s="194">
        <f>'Pseudo-load coefficients'!O267</f>
        <v>1.1651710272280893</v>
      </c>
      <c r="P78" s="194">
        <f>'Pseudo-load coefficients'!P267</f>
        <v>1.2016370849896552</v>
      </c>
      <c r="Q78" s="194">
        <f>'Pseudo-load coefficients'!Q267</f>
        <v>1.6779540343929438</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35">
      <c r="D79" s="32"/>
      <c r="J79" s="163"/>
      <c r="K79" s="163"/>
      <c r="L79" s="163"/>
      <c r="M79" s="163"/>
      <c r="N79" s="163"/>
      <c r="O79" s="163"/>
      <c r="P79" s="163"/>
      <c r="Q79" s="163"/>
      <c r="R79" s="163"/>
      <c r="S79" s="163"/>
      <c r="T79" s="163"/>
      <c r="U79" s="163"/>
      <c r="V79" s="163"/>
      <c r="W79" s="163"/>
      <c r="X79" s="163"/>
      <c r="Y79" s="163"/>
    </row>
    <row r="80" spans="3:25" x14ac:dyDescent="0.35">
      <c r="E80" s="32" t="s">
        <v>507</v>
      </c>
      <c r="J80" s="163"/>
      <c r="K80" s="163"/>
      <c r="L80" s="163"/>
      <c r="M80" s="163"/>
      <c r="N80" s="163"/>
      <c r="O80" s="163"/>
      <c r="P80" s="163"/>
      <c r="Q80" s="163"/>
      <c r="R80" s="163"/>
      <c r="S80" s="163"/>
      <c r="T80" s="163"/>
      <c r="U80" s="163"/>
      <c r="V80" s="163"/>
      <c r="W80" s="163"/>
      <c r="X80" s="163"/>
      <c r="Y80" s="163"/>
    </row>
    <row r="81" spans="5:25" x14ac:dyDescent="0.35">
      <c r="E81" s="32"/>
      <c r="F81" s="190" t="s">
        <v>189</v>
      </c>
      <c r="G81" s="64" t="s">
        <v>283</v>
      </c>
      <c r="H81" s="23"/>
      <c r="I81" s="23"/>
      <c r="J81" s="433">
        <f>'Pseudo-load coefficients'!J272</f>
        <v>6.7482889618723787</v>
      </c>
      <c r="K81" s="433">
        <f>'Pseudo-load coefficients'!K272</f>
        <v>6.7482889618723787</v>
      </c>
      <c r="L81" s="433">
        <f>'Pseudo-load coefficients'!L272</f>
        <v>7.7438972128952743</v>
      </c>
      <c r="M81" s="433">
        <f>'Pseudo-load coefficients'!M272</f>
        <v>7.7438972128952743</v>
      </c>
      <c r="N81" s="433">
        <f>'Pseudo-load coefficients'!N272</f>
        <v>6.5770345051126187</v>
      </c>
      <c r="O81" s="433">
        <f>'Pseudo-load coefficients'!O272</f>
        <v>5.6110797588219876</v>
      </c>
      <c r="P81" s="433">
        <f>'Pseudo-load coefficients'!P272</f>
        <v>5.8944473174197078</v>
      </c>
      <c r="Q81" s="433">
        <f>'Pseudo-load coefficients'!Q272</f>
        <v>9.8171958139514377</v>
      </c>
      <c r="R81" s="433">
        <f>'Pseudo-load coefficients'!R272</f>
        <v>5.2168429118773947</v>
      </c>
      <c r="S81" s="433">
        <f>'Pseudo-load coefficients'!S272</f>
        <v>5.2168429118773947</v>
      </c>
      <c r="T81" s="433">
        <f>'Pseudo-load coefficients'!T272</f>
        <v>5.2168429118773947</v>
      </c>
      <c r="U81" s="433">
        <f>'Pseudo-load coefficients'!U272</f>
        <v>5.2168429118773947</v>
      </c>
      <c r="V81" s="433">
        <f>'Pseudo-load coefficients'!V272</f>
        <v>5.2168429118773947</v>
      </c>
      <c r="W81" s="433">
        <f>'Pseudo-load coefficients'!W272</f>
        <v>5.2168429118773947</v>
      </c>
      <c r="X81" s="433">
        <f>'Pseudo-load coefficients'!X272</f>
        <v>5.2168429118773947</v>
      </c>
      <c r="Y81" s="433">
        <f>'Pseudo-load coefficients'!Y272</f>
        <v>5.2168429118773947</v>
      </c>
    </row>
    <row r="82" spans="5:25" x14ac:dyDescent="0.35">
      <c r="E82" s="32"/>
      <c r="F82" s="191" t="s">
        <v>191</v>
      </c>
      <c r="G82" s="28" t="s">
        <v>283</v>
      </c>
      <c r="J82" s="194">
        <f>'Pseudo-load coefficients'!J272</f>
        <v>6.7482889618723787</v>
      </c>
      <c r="K82" s="194">
        <f>'Pseudo-load coefficients'!K272</f>
        <v>6.7482889618723787</v>
      </c>
      <c r="L82" s="194">
        <f>'Pseudo-load coefficients'!L272</f>
        <v>7.7438972128952743</v>
      </c>
      <c r="M82" s="194">
        <f>'Pseudo-load coefficients'!M272</f>
        <v>7.7438972128952743</v>
      </c>
      <c r="N82" s="194">
        <f>'Pseudo-load coefficients'!N272</f>
        <v>6.5770345051126187</v>
      </c>
      <c r="O82" s="194">
        <f>'Pseudo-load coefficients'!O272</f>
        <v>5.6110797588219876</v>
      </c>
      <c r="P82" s="194">
        <f>'Pseudo-load coefficients'!P272</f>
        <v>5.8944473174197078</v>
      </c>
      <c r="Q82" s="194">
        <f>'Pseudo-load coefficients'!Q272</f>
        <v>9.8171958139514377</v>
      </c>
      <c r="R82" s="194">
        <f>'Pseudo-load coefficients'!R272</f>
        <v>5.2168429118773947</v>
      </c>
      <c r="S82" s="194">
        <f>'Pseudo-load coefficients'!S272</f>
        <v>5.2168429118773947</v>
      </c>
      <c r="T82" s="194">
        <f>'Pseudo-load coefficients'!T272</f>
        <v>5.2168429118773947</v>
      </c>
      <c r="U82" s="194">
        <f>'Pseudo-load coefficients'!U272</f>
        <v>5.2168429118773947</v>
      </c>
      <c r="V82" s="194">
        <f>'Pseudo-load coefficients'!V272</f>
        <v>5.2168429118773947</v>
      </c>
      <c r="W82" s="194">
        <f>'Pseudo-load coefficients'!W272</f>
        <v>5.2168429118773947</v>
      </c>
      <c r="X82" s="194">
        <f>'Pseudo-load coefficients'!X272</f>
        <v>5.2168429118773947</v>
      </c>
      <c r="Y82" s="194">
        <f>'Pseudo-load coefficients'!Y272</f>
        <v>5.2168429118773947</v>
      </c>
    </row>
    <row r="83" spans="5:25" x14ac:dyDescent="0.35">
      <c r="E83" s="32"/>
      <c r="F83" s="191" t="s">
        <v>192</v>
      </c>
      <c r="G83" s="28" t="s">
        <v>283</v>
      </c>
      <c r="J83" s="194">
        <f>'Pseudo-load coefficients'!J273</f>
        <v>0</v>
      </c>
      <c r="K83" s="194">
        <f>'Pseudo-load coefficients'!K273</f>
        <v>0</v>
      </c>
      <c r="L83" s="194">
        <f>'Pseudo-load coefficients'!L273</f>
        <v>0</v>
      </c>
      <c r="M83" s="194">
        <f>'Pseudo-load coefficients'!M273</f>
        <v>0</v>
      </c>
      <c r="N83" s="194">
        <f>'Pseudo-load coefficients'!N273</f>
        <v>0</v>
      </c>
      <c r="O83" s="194">
        <f>'Pseudo-load coefficients'!O273</f>
        <v>0</v>
      </c>
      <c r="P83" s="194">
        <f>'Pseudo-load coefficients'!P273</f>
        <v>0</v>
      </c>
      <c r="Q83" s="194">
        <f>'Pseudo-load coefficients'!Q273</f>
        <v>0</v>
      </c>
      <c r="R83" s="194">
        <f>'Pseudo-load coefficients'!R273</f>
        <v>0</v>
      </c>
      <c r="S83" s="194">
        <f>'Pseudo-load coefficients'!S273</f>
        <v>0</v>
      </c>
      <c r="T83" s="194">
        <f>'Pseudo-load coefficients'!T273</f>
        <v>0</v>
      </c>
      <c r="U83" s="194">
        <f>'Pseudo-load coefficients'!U273</f>
        <v>0</v>
      </c>
      <c r="V83" s="194">
        <f>'Pseudo-load coefficients'!V273</f>
        <v>0</v>
      </c>
      <c r="W83" s="194">
        <f>'Pseudo-load coefficients'!W273</f>
        <v>0</v>
      </c>
      <c r="X83" s="194">
        <f>'Pseudo-load coefficients'!X273</f>
        <v>0</v>
      </c>
      <c r="Y83" s="194">
        <f>'Pseudo-load coefficients'!Y273</f>
        <v>0</v>
      </c>
    </row>
    <row r="84" spans="5:25" x14ac:dyDescent="0.35">
      <c r="E84" s="32"/>
      <c r="F84" s="191" t="s">
        <v>193</v>
      </c>
      <c r="G84" s="28" t="s">
        <v>283</v>
      </c>
      <c r="J84" s="194">
        <f>'Pseudo-load coefficients'!J274</f>
        <v>0</v>
      </c>
      <c r="K84" s="194">
        <f>'Pseudo-load coefficients'!K274</f>
        <v>0</v>
      </c>
      <c r="L84" s="194">
        <f>'Pseudo-load coefficients'!L274</f>
        <v>0</v>
      </c>
      <c r="M84" s="194">
        <f>'Pseudo-load coefficients'!M274</f>
        <v>0</v>
      </c>
      <c r="N84" s="194">
        <f>'Pseudo-load coefficients'!N274</f>
        <v>0</v>
      </c>
      <c r="O84" s="194">
        <f>'Pseudo-load coefficients'!O274</f>
        <v>0</v>
      </c>
      <c r="P84" s="194">
        <f>'Pseudo-load coefficients'!P274</f>
        <v>0</v>
      </c>
      <c r="Q84" s="194">
        <f>'Pseudo-load coefficients'!Q274</f>
        <v>0</v>
      </c>
      <c r="R84" s="194">
        <f>'Pseudo-load coefficients'!R274</f>
        <v>0</v>
      </c>
      <c r="S84" s="194">
        <f>'Pseudo-load coefficients'!S274</f>
        <v>0</v>
      </c>
      <c r="T84" s="194">
        <f>'Pseudo-load coefficients'!T274</f>
        <v>0</v>
      </c>
      <c r="U84" s="194">
        <f>'Pseudo-load coefficients'!U274</f>
        <v>0</v>
      </c>
      <c r="V84" s="194">
        <f>'Pseudo-load coefficients'!V274</f>
        <v>0</v>
      </c>
      <c r="W84" s="194">
        <f>'Pseudo-load coefficients'!W274</f>
        <v>0</v>
      </c>
      <c r="X84" s="194">
        <f>'Pseudo-load coefficients'!X274</f>
        <v>0</v>
      </c>
      <c r="Y84" s="194">
        <f>'Pseudo-load coefficients'!Y274</f>
        <v>0</v>
      </c>
    </row>
    <row r="85" spans="5:25" x14ac:dyDescent="0.35">
      <c r="E85" s="32"/>
      <c r="F85" s="191" t="s">
        <v>194</v>
      </c>
      <c r="G85" s="28" t="s">
        <v>283</v>
      </c>
      <c r="J85" s="194">
        <f>'Pseudo-load coefficients'!J275</f>
        <v>6.3676756234695411</v>
      </c>
      <c r="K85" s="194">
        <f>'Pseudo-load coefficients'!K275</f>
        <v>6.3676756234695411</v>
      </c>
      <c r="L85" s="194">
        <f>'Pseudo-load coefficients'!L275</f>
        <v>7.3071301172505283</v>
      </c>
      <c r="M85" s="194">
        <f>'Pseudo-load coefficients'!M275</f>
        <v>7.3071301172505283</v>
      </c>
      <c r="N85" s="194">
        <f>'Pseudo-load coefficients'!N275</f>
        <v>6.2060801678094633</v>
      </c>
      <c r="O85" s="194">
        <f>'Pseudo-load coefficients'!O275</f>
        <v>5.2946066778504717</v>
      </c>
      <c r="P85" s="194">
        <f>'Pseudo-load coefficients'!P275</f>
        <v>5.5619918929115846</v>
      </c>
      <c r="Q85" s="194">
        <f>'Pseudo-load coefficients'!Q275</f>
        <v>8.8445943710831827</v>
      </c>
      <c r="R85" s="194">
        <f>'Pseudo-load coefficients'!R275</f>
        <v>4.9226053639846752</v>
      </c>
      <c r="S85" s="194">
        <f>'Pseudo-load coefficients'!S275</f>
        <v>4.9226053639846752</v>
      </c>
      <c r="T85" s="194">
        <f>'Pseudo-load coefficients'!T275</f>
        <v>4.9226053639846752</v>
      </c>
      <c r="U85" s="194">
        <f>'Pseudo-load coefficients'!U275</f>
        <v>4.9226053639846752</v>
      </c>
      <c r="V85" s="194">
        <f>'Pseudo-load coefficients'!V275</f>
        <v>4.9226053639846752</v>
      </c>
      <c r="W85" s="194">
        <f>'Pseudo-load coefficients'!W275</f>
        <v>4.9226053639846752</v>
      </c>
      <c r="X85" s="194">
        <f>'Pseudo-load coefficients'!X275</f>
        <v>4.9226053639846752</v>
      </c>
      <c r="Y85" s="194">
        <f>'Pseudo-load coefficients'!Y275</f>
        <v>4.9226053639846752</v>
      </c>
    </row>
    <row r="86" spans="5:25" x14ac:dyDescent="0.35">
      <c r="E86" s="32"/>
      <c r="F86" s="191" t="s">
        <v>195</v>
      </c>
      <c r="G86" s="28" t="s">
        <v>283</v>
      </c>
      <c r="J86" s="194">
        <f>'Pseudo-load coefficients'!J276</f>
        <v>6.3676756234695411</v>
      </c>
      <c r="K86" s="194">
        <f>'Pseudo-load coefficients'!K276</f>
        <v>6.3676756234695411</v>
      </c>
      <c r="L86" s="194">
        <f>'Pseudo-load coefficients'!L276</f>
        <v>7.3071301172505283</v>
      </c>
      <c r="M86" s="194">
        <f>'Pseudo-load coefficients'!M276</f>
        <v>7.3071301172505283</v>
      </c>
      <c r="N86" s="194">
        <f>'Pseudo-load coefficients'!N276</f>
        <v>6.2060801678094633</v>
      </c>
      <c r="O86" s="194">
        <f>'Pseudo-load coefficients'!O276</f>
        <v>5.2946066778504717</v>
      </c>
      <c r="P86" s="194">
        <f>'Pseudo-load coefficients'!P276</f>
        <v>5.5619918929115846</v>
      </c>
      <c r="Q86" s="194">
        <f>'Pseudo-load coefficients'!Q276</f>
        <v>8.8445943710831827</v>
      </c>
      <c r="R86" s="194">
        <f>'Pseudo-load coefficients'!R276</f>
        <v>4.9226053639846752</v>
      </c>
      <c r="S86" s="194">
        <f>'Pseudo-load coefficients'!S276</f>
        <v>4.9226053639846752</v>
      </c>
      <c r="T86" s="194">
        <f>'Pseudo-load coefficients'!T276</f>
        <v>4.9226053639846752</v>
      </c>
      <c r="U86" s="194">
        <f>'Pseudo-load coefficients'!U276</f>
        <v>4.9226053639846752</v>
      </c>
      <c r="V86" s="194">
        <f>'Pseudo-load coefficients'!V276</f>
        <v>4.9226053639846752</v>
      </c>
      <c r="W86" s="194">
        <f>'Pseudo-load coefficients'!W276</f>
        <v>4.9226053639846752</v>
      </c>
      <c r="X86" s="194">
        <f>'Pseudo-load coefficients'!X276</f>
        <v>4.9226053639846752</v>
      </c>
      <c r="Y86" s="194">
        <f>'Pseudo-load coefficients'!Y276</f>
        <v>4.9226053639846752</v>
      </c>
    </row>
    <row r="87" spans="5:25" x14ac:dyDescent="0.35">
      <c r="E87" s="32"/>
      <c r="F87" s="191" t="s">
        <v>196</v>
      </c>
      <c r="G87" s="28" t="s">
        <v>283</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35">
      <c r="E88" s="32"/>
      <c r="F88" s="191" t="s">
        <v>197</v>
      </c>
      <c r="G88" s="28" t="s">
        <v>283</v>
      </c>
      <c r="J88" s="194">
        <f>'Pseudo-load coefficients'!J278</f>
        <v>5.6440761208025476</v>
      </c>
      <c r="K88" s="194">
        <f>'Pseudo-load coefficients'!K278</f>
        <v>5.6440761208025476</v>
      </c>
      <c r="L88" s="194">
        <f>'Pseudo-load coefficients'!L278</f>
        <v>6.4767744221084227</v>
      </c>
      <c r="M88" s="194">
        <f>'Pseudo-load coefficients'!M278</f>
        <v>6.4767744221084227</v>
      </c>
      <c r="N88" s="194">
        <f>'Pseudo-load coefficients'!N278</f>
        <v>5.5008437851038421</v>
      </c>
      <c r="O88" s="194">
        <f>'Pseudo-load coefficients'!O278</f>
        <v>4.692946828094736</v>
      </c>
      <c r="P88" s="194">
        <f>'Pseudo-load coefficients'!P278</f>
        <v>4.9299473596261771</v>
      </c>
      <c r="Q88" s="194">
        <f>'Pseudo-load coefficients'!Q278</f>
        <v>7.7271754339643248</v>
      </c>
      <c r="R88" s="194">
        <f>'Pseudo-load coefficients'!R278</f>
        <v>4.3632183908045983</v>
      </c>
      <c r="S88" s="194">
        <f>'Pseudo-load coefficients'!S278</f>
        <v>4.3632183908045983</v>
      </c>
      <c r="T88" s="194">
        <f>'Pseudo-load coefficients'!T278</f>
        <v>4.3632183908045983</v>
      </c>
      <c r="U88" s="194">
        <f>'Pseudo-load coefficients'!U278</f>
        <v>4.3632183908045983</v>
      </c>
      <c r="V88" s="194">
        <f>'Pseudo-load coefficients'!V278</f>
        <v>4.3632183908045983</v>
      </c>
      <c r="W88" s="194">
        <f>'Pseudo-load coefficients'!W278</f>
        <v>4.3632183908045983</v>
      </c>
      <c r="X88" s="194">
        <f>'Pseudo-load coefficients'!X278</f>
        <v>4.3632183908045983</v>
      </c>
      <c r="Y88" s="194">
        <f>'Pseudo-load coefficients'!Y278</f>
        <v>4.3632183908045983</v>
      </c>
    </row>
    <row r="89" spans="5:25" x14ac:dyDescent="0.35">
      <c r="E89" s="32"/>
      <c r="F89" s="191" t="s">
        <v>198</v>
      </c>
      <c r="G89" s="28" t="s">
        <v>283</v>
      </c>
      <c r="J89" s="194">
        <f>'Pseudo-load coefficients'!J279</f>
        <v>5.6440761208025476</v>
      </c>
      <c r="K89" s="194">
        <f>'Pseudo-load coefficients'!K279</f>
        <v>5.6440761208025476</v>
      </c>
      <c r="L89" s="194">
        <f>'Pseudo-load coefficients'!L279</f>
        <v>6.4767744221084227</v>
      </c>
      <c r="M89" s="194">
        <f>'Pseudo-load coefficients'!M279</f>
        <v>6.4767744221084227</v>
      </c>
      <c r="N89" s="194">
        <f>'Pseudo-load coefficients'!N279</f>
        <v>5.5008437851038421</v>
      </c>
      <c r="O89" s="194">
        <f>'Pseudo-load coefficients'!O279</f>
        <v>4.692946828094736</v>
      </c>
      <c r="P89" s="194">
        <f>'Pseudo-load coefficients'!P279</f>
        <v>4.9299473596261771</v>
      </c>
      <c r="Q89" s="194">
        <f>'Pseudo-load coefficients'!Q279</f>
        <v>7.7271754339643248</v>
      </c>
      <c r="R89" s="194">
        <f>'Pseudo-load coefficients'!R279</f>
        <v>4.3632183908045983</v>
      </c>
      <c r="S89" s="194">
        <f>'Pseudo-load coefficients'!S279</f>
        <v>4.3632183908045983</v>
      </c>
      <c r="T89" s="194">
        <f>'Pseudo-load coefficients'!T279</f>
        <v>4.3632183908045983</v>
      </c>
      <c r="U89" s="194">
        <f>'Pseudo-load coefficients'!U279</f>
        <v>4.3632183908045983</v>
      </c>
      <c r="V89" s="194">
        <f>'Pseudo-load coefficients'!V279</f>
        <v>4.3632183908045983</v>
      </c>
      <c r="W89" s="194">
        <f>'Pseudo-load coefficients'!W279</f>
        <v>4.3632183908045983</v>
      </c>
      <c r="X89" s="194">
        <f>'Pseudo-load coefficients'!X279</f>
        <v>4.3632183908045983</v>
      </c>
      <c r="Y89" s="194">
        <f>'Pseudo-load coefficients'!Y279</f>
        <v>4.3632183908045983</v>
      </c>
    </row>
    <row r="90" spans="5:25" x14ac:dyDescent="0.35">
      <c r="E90" s="32"/>
      <c r="F90" s="192" t="s">
        <v>199</v>
      </c>
      <c r="G90" s="67" t="s">
        <v>283</v>
      </c>
      <c r="H90" s="37"/>
      <c r="I90" s="37"/>
      <c r="J90" s="195">
        <f>'Pseudo-load coefficients'!J280</f>
        <v>5.6440761208025476</v>
      </c>
      <c r="K90" s="195">
        <f>'Pseudo-load coefficients'!K280</f>
        <v>5.6440761208025476</v>
      </c>
      <c r="L90" s="195">
        <f>'Pseudo-load coefficients'!L280</f>
        <v>6.4767744221084227</v>
      </c>
      <c r="M90" s="195">
        <f>'Pseudo-load coefficients'!M280</f>
        <v>6.4767744221084227</v>
      </c>
      <c r="N90" s="195">
        <f>'Pseudo-load coefficients'!N280</f>
        <v>5.5008437851038421</v>
      </c>
      <c r="O90" s="195">
        <f>'Pseudo-load coefficients'!O280</f>
        <v>4.692946828094736</v>
      </c>
      <c r="P90" s="195">
        <f>'Pseudo-load coefficients'!P280</f>
        <v>4.9299473596261771</v>
      </c>
      <c r="Q90" s="195">
        <f>'Pseudo-load coefficients'!Q280</f>
        <v>7.7271754339643248</v>
      </c>
      <c r="R90" s="195">
        <f>'Pseudo-load coefficients'!R280</f>
        <v>4.3632183908045983</v>
      </c>
      <c r="S90" s="195">
        <f>'Pseudo-load coefficients'!S280</f>
        <v>4.3632183908045983</v>
      </c>
      <c r="T90" s="195">
        <f>'Pseudo-load coefficients'!T280</f>
        <v>4.3632183908045983</v>
      </c>
      <c r="U90" s="195">
        <f>'Pseudo-load coefficients'!U280</f>
        <v>4.3632183908045983</v>
      </c>
      <c r="V90" s="195">
        <f>'Pseudo-load coefficients'!V280</f>
        <v>4.3632183908045983</v>
      </c>
      <c r="W90" s="195">
        <f>'Pseudo-load coefficients'!W280</f>
        <v>4.3632183908045983</v>
      </c>
      <c r="X90" s="195">
        <f>'Pseudo-load coefficients'!X280</f>
        <v>4.3632183908045983</v>
      </c>
      <c r="Y90" s="195">
        <f>'Pseudo-load coefficients'!Y280</f>
        <v>4.3632183908045983</v>
      </c>
    </row>
    <row r="91" spans="5:25" x14ac:dyDescent="0.35">
      <c r="E91" s="32"/>
      <c r="J91" s="163"/>
      <c r="K91" s="163"/>
      <c r="L91" s="163"/>
      <c r="M91" s="163"/>
      <c r="N91" s="163"/>
      <c r="O91" s="163"/>
      <c r="P91" s="163"/>
      <c r="Q91" s="163"/>
      <c r="R91" s="163"/>
      <c r="S91" s="163"/>
      <c r="T91" s="163"/>
      <c r="U91" s="163"/>
      <c r="V91" s="163"/>
      <c r="W91" s="163"/>
      <c r="X91" s="163"/>
      <c r="Y91" s="163"/>
    </row>
    <row r="92" spans="5:25" x14ac:dyDescent="0.35">
      <c r="E92" s="32" t="s">
        <v>510</v>
      </c>
      <c r="J92" s="163"/>
      <c r="K92" s="163"/>
      <c r="L92" s="163"/>
      <c r="M92" s="163"/>
      <c r="N92" s="163"/>
      <c r="O92" s="163"/>
      <c r="P92" s="163"/>
      <c r="Q92" s="163"/>
      <c r="R92" s="163"/>
      <c r="S92" s="163"/>
      <c r="T92" s="163"/>
      <c r="U92" s="163"/>
      <c r="V92" s="163"/>
      <c r="W92" s="163"/>
      <c r="X92" s="163"/>
      <c r="Y92" s="163"/>
    </row>
    <row r="93" spans="5:25" x14ac:dyDescent="0.35">
      <c r="E93" s="32"/>
      <c r="F93" s="190" t="s">
        <v>189</v>
      </c>
      <c r="G93" s="64" t="s">
        <v>283</v>
      </c>
      <c r="H93" s="23"/>
      <c r="I93" s="23"/>
      <c r="J93" s="433">
        <f>'Pseudo-load coefficients'!J283</f>
        <v>1.0900093429734632</v>
      </c>
      <c r="K93" s="433">
        <f>'Pseudo-load coefficients'!K283</f>
        <v>1.0900093429734632</v>
      </c>
      <c r="L93" s="433">
        <f>'Pseudo-load coefficients'!L283</f>
        <v>1.2508237807795348</v>
      </c>
      <c r="M93" s="433">
        <f>'Pseudo-load coefficients'!M283</f>
        <v>1.2508237807795348</v>
      </c>
      <c r="N93" s="433">
        <f>'Pseudo-load coefficients'!N283</f>
        <v>1.0623476706668002</v>
      </c>
      <c r="O93" s="433">
        <f>'Pseudo-load coefficients'!O283</f>
        <v>0.90632297991997546</v>
      </c>
      <c r="P93" s="433">
        <f>'Pseudo-load coefficients'!P283</f>
        <v>0.95209358756766516</v>
      </c>
      <c r="Q93" s="433">
        <f>'Pseudo-load coefficients'!Q283</f>
        <v>0.74694624721662772</v>
      </c>
      <c r="R93" s="433">
        <f>'Pseudo-load coefficients'!R283</f>
        <v>0.84264434242506081</v>
      </c>
      <c r="S93" s="433">
        <f>'Pseudo-load coefficients'!S283</f>
        <v>0.84264434242506081</v>
      </c>
      <c r="T93" s="433">
        <f>'Pseudo-load coefficients'!T283</f>
        <v>0.84264434242506081</v>
      </c>
      <c r="U93" s="433">
        <f>'Pseudo-load coefficients'!U283</f>
        <v>0.84264434242506081</v>
      </c>
      <c r="V93" s="433">
        <f>'Pseudo-load coefficients'!V283</f>
        <v>0.84264434242506081</v>
      </c>
      <c r="W93" s="433">
        <f>'Pseudo-load coefficients'!W283</f>
        <v>0.84264434242506081</v>
      </c>
      <c r="X93" s="433">
        <f>'Pseudo-load coefficients'!X283</f>
        <v>0.84264434242506081</v>
      </c>
      <c r="Y93" s="433">
        <f>'Pseudo-load coefficients'!Y283</f>
        <v>0.84264434242506081</v>
      </c>
    </row>
    <row r="94" spans="5:25" x14ac:dyDescent="0.35">
      <c r="E94" s="32"/>
      <c r="F94" s="191" t="s">
        <v>191</v>
      </c>
      <c r="G94" s="28" t="s">
        <v>283</v>
      </c>
      <c r="J94" s="194">
        <f>'Pseudo-load coefficients'!J283</f>
        <v>1.0900093429734632</v>
      </c>
      <c r="K94" s="194">
        <f>'Pseudo-load coefficients'!K283</f>
        <v>1.0900093429734632</v>
      </c>
      <c r="L94" s="194">
        <f>'Pseudo-load coefficients'!L283</f>
        <v>1.2508237807795348</v>
      </c>
      <c r="M94" s="194">
        <f>'Pseudo-load coefficients'!M283</f>
        <v>1.2508237807795348</v>
      </c>
      <c r="N94" s="194">
        <f>'Pseudo-load coefficients'!N283</f>
        <v>1.0623476706668002</v>
      </c>
      <c r="O94" s="194">
        <f>'Pseudo-load coefficients'!O283</f>
        <v>0.90632297991997546</v>
      </c>
      <c r="P94" s="194">
        <f>'Pseudo-load coefficients'!P283</f>
        <v>0.95209358756766516</v>
      </c>
      <c r="Q94" s="194">
        <f>'Pseudo-load coefficients'!Q283</f>
        <v>0.74694624721662772</v>
      </c>
      <c r="R94" s="194">
        <f>'Pseudo-load coefficients'!R283</f>
        <v>0.84264434242506081</v>
      </c>
      <c r="S94" s="194">
        <f>'Pseudo-load coefficients'!S283</f>
        <v>0.84264434242506081</v>
      </c>
      <c r="T94" s="194">
        <f>'Pseudo-load coefficients'!T283</f>
        <v>0.84264434242506081</v>
      </c>
      <c r="U94" s="194">
        <f>'Pseudo-load coefficients'!U283</f>
        <v>0.84264434242506081</v>
      </c>
      <c r="V94" s="194">
        <f>'Pseudo-load coefficients'!V283</f>
        <v>0.84264434242506081</v>
      </c>
      <c r="W94" s="194">
        <f>'Pseudo-load coefficients'!W283</f>
        <v>0.84264434242506081</v>
      </c>
      <c r="X94" s="194">
        <f>'Pseudo-load coefficients'!X283</f>
        <v>0.84264434242506081</v>
      </c>
      <c r="Y94" s="194">
        <f>'Pseudo-load coefficients'!Y283</f>
        <v>0.84264434242506081</v>
      </c>
    </row>
    <row r="95" spans="5:25" x14ac:dyDescent="0.35">
      <c r="E95" s="32"/>
      <c r="F95" s="191" t="s">
        <v>192</v>
      </c>
      <c r="G95" s="28" t="s">
        <v>283</v>
      </c>
      <c r="J95" s="194">
        <f>'Pseudo-load coefficients'!J284</f>
        <v>0</v>
      </c>
      <c r="K95" s="194">
        <f>'Pseudo-load coefficients'!K284</f>
        <v>0</v>
      </c>
      <c r="L95" s="194">
        <f>'Pseudo-load coefficients'!L284</f>
        <v>0</v>
      </c>
      <c r="M95" s="194">
        <f>'Pseudo-load coefficients'!M284</f>
        <v>0</v>
      </c>
      <c r="N95" s="194">
        <f>'Pseudo-load coefficients'!N284</f>
        <v>0</v>
      </c>
      <c r="O95" s="194">
        <f>'Pseudo-load coefficients'!O284</f>
        <v>0</v>
      </c>
      <c r="P95" s="194">
        <f>'Pseudo-load coefficients'!P284</f>
        <v>0</v>
      </c>
      <c r="Q95" s="194">
        <f>'Pseudo-load coefficients'!Q284</f>
        <v>0</v>
      </c>
      <c r="R95" s="194">
        <f>'Pseudo-load coefficients'!R284</f>
        <v>0</v>
      </c>
      <c r="S95" s="194">
        <f>'Pseudo-load coefficients'!S284</f>
        <v>0</v>
      </c>
      <c r="T95" s="194">
        <f>'Pseudo-load coefficients'!T284</f>
        <v>0</v>
      </c>
      <c r="U95" s="194">
        <f>'Pseudo-load coefficients'!U284</f>
        <v>0</v>
      </c>
      <c r="V95" s="194">
        <f>'Pseudo-load coefficients'!V284</f>
        <v>0</v>
      </c>
      <c r="W95" s="194">
        <f>'Pseudo-load coefficients'!W284</f>
        <v>0</v>
      </c>
      <c r="X95" s="194">
        <f>'Pseudo-load coefficients'!X284</f>
        <v>0</v>
      </c>
      <c r="Y95" s="194">
        <f>'Pseudo-load coefficients'!Y284</f>
        <v>0</v>
      </c>
    </row>
    <row r="96" spans="5:25" x14ac:dyDescent="0.35">
      <c r="E96" s="32"/>
      <c r="F96" s="191" t="s">
        <v>193</v>
      </c>
      <c r="G96" s="28" t="s">
        <v>283</v>
      </c>
      <c r="J96" s="194">
        <f>'Pseudo-load coefficients'!J285</f>
        <v>0</v>
      </c>
      <c r="K96" s="194">
        <f>'Pseudo-load coefficients'!K285</f>
        <v>0</v>
      </c>
      <c r="L96" s="194">
        <f>'Pseudo-load coefficients'!L285</f>
        <v>0</v>
      </c>
      <c r="M96" s="194">
        <f>'Pseudo-load coefficients'!M285</f>
        <v>0</v>
      </c>
      <c r="N96" s="194">
        <f>'Pseudo-load coefficients'!N285</f>
        <v>0</v>
      </c>
      <c r="O96" s="194">
        <f>'Pseudo-load coefficients'!O285</f>
        <v>0</v>
      </c>
      <c r="P96" s="194">
        <f>'Pseudo-load coefficients'!P285</f>
        <v>0</v>
      </c>
      <c r="Q96" s="194">
        <f>'Pseudo-load coefficients'!Q285</f>
        <v>0</v>
      </c>
      <c r="R96" s="194">
        <f>'Pseudo-load coefficients'!R285</f>
        <v>0</v>
      </c>
      <c r="S96" s="194">
        <f>'Pseudo-load coefficients'!S285</f>
        <v>0</v>
      </c>
      <c r="T96" s="194">
        <f>'Pseudo-load coefficients'!T285</f>
        <v>0</v>
      </c>
      <c r="U96" s="194">
        <f>'Pseudo-load coefficients'!U285</f>
        <v>0</v>
      </c>
      <c r="V96" s="194">
        <f>'Pseudo-load coefficients'!V285</f>
        <v>0</v>
      </c>
      <c r="W96" s="194">
        <f>'Pseudo-load coefficients'!W285</f>
        <v>0</v>
      </c>
      <c r="X96" s="194">
        <f>'Pseudo-load coefficients'!X285</f>
        <v>0</v>
      </c>
      <c r="Y96" s="194">
        <f>'Pseudo-load coefficients'!Y285</f>
        <v>0</v>
      </c>
    </row>
    <row r="97" spans="3:25" x14ac:dyDescent="0.35">
      <c r="E97" s="32"/>
      <c r="F97" s="191" t="s">
        <v>194</v>
      </c>
      <c r="G97" s="28" t="s">
        <v>283</v>
      </c>
      <c r="J97" s="194">
        <f>'Pseudo-load coefficients'!J286</f>
        <v>1.2546429832092079</v>
      </c>
      <c r="K97" s="194">
        <f>'Pseudo-load coefficients'!K286</f>
        <v>1.2546429832092079</v>
      </c>
      <c r="L97" s="194">
        <f>'Pseudo-load coefficients'!L286</f>
        <v>1.4397466314419123</v>
      </c>
      <c r="M97" s="194">
        <f>'Pseudo-load coefficients'!M286</f>
        <v>1.4397466314419123</v>
      </c>
      <c r="N97" s="194">
        <f>'Pseudo-load coefficients'!N286</f>
        <v>1.2228033267079956</v>
      </c>
      <c r="O97" s="194">
        <f>'Pseudo-load coefficients'!O286</f>
        <v>1.0432128629062041</v>
      </c>
      <c r="P97" s="194">
        <f>'Pseudo-load coefficients'!P286</f>
        <v>1.0958966055663746</v>
      </c>
      <c r="Q97" s="194">
        <f>'Pseudo-load coefficients'!Q286</f>
        <v>0.85129943285347942</v>
      </c>
      <c r="R97" s="194">
        <f>'Pseudo-load coefficients'!R286</f>
        <v>0.96991628409397779</v>
      </c>
      <c r="S97" s="194">
        <f>'Pseudo-load coefficients'!S286</f>
        <v>0.96991628409397779</v>
      </c>
      <c r="T97" s="194">
        <f>'Pseudo-load coefficients'!T286</f>
        <v>0.96991628409397779</v>
      </c>
      <c r="U97" s="194">
        <f>'Pseudo-load coefficients'!U286</f>
        <v>0.96991628409397779</v>
      </c>
      <c r="V97" s="194">
        <f>'Pseudo-load coefficients'!V286</f>
        <v>0.96991628409397779</v>
      </c>
      <c r="W97" s="194">
        <f>'Pseudo-load coefficients'!W286</f>
        <v>0.96991628409397779</v>
      </c>
      <c r="X97" s="194">
        <f>'Pseudo-load coefficients'!X286</f>
        <v>0.96991628409397779</v>
      </c>
      <c r="Y97" s="194">
        <f>'Pseudo-load coefficients'!Y286</f>
        <v>0.96991628409397779</v>
      </c>
    </row>
    <row r="98" spans="3:25" x14ac:dyDescent="0.35">
      <c r="E98" s="32"/>
      <c r="F98" s="191" t="s">
        <v>195</v>
      </c>
      <c r="G98" s="28" t="s">
        <v>283</v>
      </c>
      <c r="J98" s="194">
        <f>'Pseudo-load coefficients'!J287</f>
        <v>1.2546429832092079</v>
      </c>
      <c r="K98" s="194">
        <f>'Pseudo-load coefficients'!K287</f>
        <v>1.2546429832092079</v>
      </c>
      <c r="L98" s="194">
        <f>'Pseudo-load coefficients'!L287</f>
        <v>1.4397466314419123</v>
      </c>
      <c r="M98" s="194">
        <f>'Pseudo-load coefficients'!M287</f>
        <v>1.4397466314419123</v>
      </c>
      <c r="N98" s="194">
        <f>'Pseudo-load coefficients'!N287</f>
        <v>1.2228033267079956</v>
      </c>
      <c r="O98" s="194">
        <f>'Pseudo-load coefficients'!O287</f>
        <v>1.0432128629062041</v>
      </c>
      <c r="P98" s="194">
        <f>'Pseudo-load coefficients'!P287</f>
        <v>1.0958966055663746</v>
      </c>
      <c r="Q98" s="194">
        <f>'Pseudo-load coefficients'!Q287</f>
        <v>0.85129943285347942</v>
      </c>
      <c r="R98" s="194">
        <f>'Pseudo-load coefficients'!R287</f>
        <v>0.96991628409397779</v>
      </c>
      <c r="S98" s="194">
        <f>'Pseudo-load coefficients'!S287</f>
        <v>0.96991628409397779</v>
      </c>
      <c r="T98" s="194">
        <f>'Pseudo-load coefficients'!T287</f>
        <v>0.96991628409397779</v>
      </c>
      <c r="U98" s="194">
        <f>'Pseudo-load coefficients'!U287</f>
        <v>0.96991628409397779</v>
      </c>
      <c r="V98" s="194">
        <f>'Pseudo-load coefficients'!V287</f>
        <v>0.96991628409397779</v>
      </c>
      <c r="W98" s="194">
        <f>'Pseudo-load coefficients'!W287</f>
        <v>0.96991628409397779</v>
      </c>
      <c r="X98" s="194">
        <f>'Pseudo-load coefficients'!X287</f>
        <v>0.96991628409397779</v>
      </c>
      <c r="Y98" s="194">
        <f>'Pseudo-load coefficients'!Y287</f>
        <v>0.96991628409397779</v>
      </c>
    </row>
    <row r="99" spans="3:25" x14ac:dyDescent="0.35">
      <c r="E99" s="32"/>
      <c r="F99" s="191" t="s">
        <v>196</v>
      </c>
      <c r="G99" s="28" t="s">
        <v>283</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35">
      <c r="E100" s="32"/>
      <c r="F100" s="191" t="s">
        <v>197</v>
      </c>
      <c r="G100" s="28" t="s">
        <v>283</v>
      </c>
      <c r="J100" s="194">
        <f>'Pseudo-load coefficients'!J289</f>
        <v>1.3464461283220768</v>
      </c>
      <c r="K100" s="194">
        <f>'Pseudo-load coefficients'!K289</f>
        <v>1.3464461283220768</v>
      </c>
      <c r="L100" s="194">
        <f>'Pseudo-load coefficients'!L289</f>
        <v>1.545093945937662</v>
      </c>
      <c r="M100" s="194">
        <f>'Pseudo-load coefficients'!M289</f>
        <v>1.545093945937662</v>
      </c>
      <c r="N100" s="194">
        <f>'Pseudo-load coefficients'!N289</f>
        <v>1.3122767408573612</v>
      </c>
      <c r="O100" s="194">
        <f>'Pseudo-load coefficients'!O289</f>
        <v>1.1195455114115362</v>
      </c>
      <c r="P100" s="194">
        <f>'Pseudo-load coefficients'!P289</f>
        <v>1.1760841620712315</v>
      </c>
      <c r="Q100" s="194">
        <f>'Pseudo-load coefficients'!Q289</f>
        <v>0.88675660518173527</v>
      </c>
      <c r="R100" s="194">
        <f>'Pseudo-load coefficients'!R289</f>
        <v>1.0408857682959762</v>
      </c>
      <c r="S100" s="194">
        <f>'Pseudo-load coefficients'!S289</f>
        <v>1.0408857682959762</v>
      </c>
      <c r="T100" s="194">
        <f>'Pseudo-load coefficients'!T289</f>
        <v>1.0408857682959762</v>
      </c>
      <c r="U100" s="194">
        <f>'Pseudo-load coefficients'!U289</f>
        <v>1.0408857682959762</v>
      </c>
      <c r="V100" s="194">
        <f>'Pseudo-load coefficients'!V289</f>
        <v>1.0408857682959762</v>
      </c>
      <c r="W100" s="194">
        <f>'Pseudo-load coefficients'!W289</f>
        <v>1.0408857682959762</v>
      </c>
      <c r="X100" s="194">
        <f>'Pseudo-load coefficients'!X289</f>
        <v>1.0408857682959762</v>
      </c>
      <c r="Y100" s="194">
        <f>'Pseudo-load coefficients'!Y289</f>
        <v>1.0408857682959762</v>
      </c>
    </row>
    <row r="101" spans="3:25" x14ac:dyDescent="0.35">
      <c r="E101" s="32"/>
      <c r="F101" s="191" t="s">
        <v>198</v>
      </c>
      <c r="G101" s="28" t="s">
        <v>283</v>
      </c>
      <c r="J101" s="194">
        <f>'Pseudo-load coefficients'!J290</f>
        <v>1.3464461283220768</v>
      </c>
      <c r="K101" s="194">
        <f>'Pseudo-load coefficients'!K290</f>
        <v>1.3464461283220768</v>
      </c>
      <c r="L101" s="194">
        <f>'Pseudo-load coefficients'!L290</f>
        <v>1.545093945937662</v>
      </c>
      <c r="M101" s="194">
        <f>'Pseudo-load coefficients'!M290</f>
        <v>1.545093945937662</v>
      </c>
      <c r="N101" s="194">
        <f>'Pseudo-load coefficients'!N290</f>
        <v>1.3122767408573612</v>
      </c>
      <c r="O101" s="194">
        <f>'Pseudo-load coefficients'!O290</f>
        <v>1.1195455114115362</v>
      </c>
      <c r="P101" s="194">
        <f>'Pseudo-load coefficients'!P290</f>
        <v>1.1760841620712315</v>
      </c>
      <c r="Q101" s="194">
        <f>'Pseudo-load coefficients'!Q290</f>
        <v>0.88675660518173527</v>
      </c>
      <c r="R101" s="194">
        <f>'Pseudo-load coefficients'!R290</f>
        <v>1.0408857682959762</v>
      </c>
      <c r="S101" s="194">
        <f>'Pseudo-load coefficients'!S290</f>
        <v>1.0408857682959762</v>
      </c>
      <c r="T101" s="194">
        <f>'Pseudo-load coefficients'!T290</f>
        <v>1.0408857682959762</v>
      </c>
      <c r="U101" s="194">
        <f>'Pseudo-load coefficients'!U290</f>
        <v>1.0408857682959762</v>
      </c>
      <c r="V101" s="194">
        <f>'Pseudo-load coefficients'!V290</f>
        <v>1.0408857682959762</v>
      </c>
      <c r="W101" s="194">
        <f>'Pseudo-load coefficients'!W290</f>
        <v>1.0408857682959762</v>
      </c>
      <c r="X101" s="194">
        <f>'Pseudo-load coefficients'!X290</f>
        <v>1.0408857682959762</v>
      </c>
      <c r="Y101" s="194">
        <f>'Pseudo-load coefficients'!Y290</f>
        <v>1.0408857682959762</v>
      </c>
    </row>
    <row r="102" spans="3:25" x14ac:dyDescent="0.35">
      <c r="E102" s="32"/>
      <c r="F102" s="192" t="s">
        <v>199</v>
      </c>
      <c r="G102" s="67" t="s">
        <v>283</v>
      </c>
      <c r="H102" s="37"/>
      <c r="I102" s="37"/>
      <c r="J102" s="195">
        <f>'Pseudo-load coefficients'!J291</f>
        <v>1.3464461283220768</v>
      </c>
      <c r="K102" s="195">
        <f>'Pseudo-load coefficients'!K291</f>
        <v>1.3464461283220768</v>
      </c>
      <c r="L102" s="195">
        <f>'Pseudo-load coefficients'!L291</f>
        <v>1.545093945937662</v>
      </c>
      <c r="M102" s="195">
        <f>'Pseudo-load coefficients'!M291</f>
        <v>1.545093945937662</v>
      </c>
      <c r="N102" s="195">
        <f>'Pseudo-load coefficients'!N291</f>
        <v>1.3122767408573612</v>
      </c>
      <c r="O102" s="195">
        <f>'Pseudo-load coefficients'!O291</f>
        <v>1.1195455114115362</v>
      </c>
      <c r="P102" s="195">
        <f>'Pseudo-load coefficients'!P291</f>
        <v>1.1760841620712315</v>
      </c>
      <c r="Q102" s="195">
        <f>'Pseudo-load coefficients'!Q291</f>
        <v>0.88675660518173527</v>
      </c>
      <c r="R102" s="195">
        <f>'Pseudo-load coefficients'!R291</f>
        <v>1.0408857682959762</v>
      </c>
      <c r="S102" s="195">
        <f>'Pseudo-load coefficients'!S291</f>
        <v>1.0408857682959762</v>
      </c>
      <c r="T102" s="195">
        <f>'Pseudo-load coefficients'!T291</f>
        <v>1.0408857682959762</v>
      </c>
      <c r="U102" s="195">
        <f>'Pseudo-load coefficients'!U291</f>
        <v>1.0408857682959762</v>
      </c>
      <c r="V102" s="195">
        <f>'Pseudo-load coefficients'!V291</f>
        <v>1.0408857682959762</v>
      </c>
      <c r="W102" s="195">
        <f>'Pseudo-load coefficients'!W291</f>
        <v>1.0408857682959762</v>
      </c>
      <c r="X102" s="195">
        <f>'Pseudo-load coefficients'!X291</f>
        <v>1.0408857682959762</v>
      </c>
      <c r="Y102" s="195">
        <f>'Pseudo-load coefficients'!Y291</f>
        <v>1.0408857682959762</v>
      </c>
    </row>
    <row r="103" spans="3:25" x14ac:dyDescent="0.35">
      <c r="E103" s="32"/>
      <c r="J103" s="163"/>
      <c r="K103" s="163"/>
      <c r="L103" s="163"/>
      <c r="M103" s="163"/>
      <c r="N103" s="163"/>
      <c r="O103" s="163"/>
      <c r="P103" s="163"/>
      <c r="Q103" s="163"/>
      <c r="R103" s="163"/>
      <c r="S103" s="163"/>
      <c r="T103" s="163"/>
      <c r="U103" s="163"/>
      <c r="V103" s="163"/>
      <c r="W103" s="163"/>
      <c r="X103" s="163"/>
      <c r="Y103" s="163"/>
    </row>
    <row r="104" spans="3:25" x14ac:dyDescent="0.35">
      <c r="E104" s="32" t="s">
        <v>513</v>
      </c>
      <c r="J104" s="163"/>
      <c r="K104" s="163"/>
      <c r="L104" s="163"/>
      <c r="M104" s="163"/>
      <c r="N104" s="163"/>
      <c r="O104" s="163"/>
      <c r="P104" s="163"/>
      <c r="Q104" s="163"/>
      <c r="R104" s="163"/>
      <c r="S104" s="163"/>
      <c r="T104" s="163"/>
      <c r="U104" s="163"/>
      <c r="V104" s="163"/>
      <c r="W104" s="163"/>
      <c r="X104" s="163"/>
      <c r="Y104" s="163"/>
    </row>
    <row r="105" spans="3:25" x14ac:dyDescent="0.35">
      <c r="C105" s="32"/>
      <c r="E105" s="32"/>
      <c r="F105" s="190" t="s">
        <v>189</v>
      </c>
      <c r="G105" s="64" t="s">
        <v>283</v>
      </c>
      <c r="H105" s="23"/>
      <c r="I105" s="23"/>
      <c r="J105" s="433">
        <f>'Pseudo-load coefficients'!J294</f>
        <v>0.47113235171517565</v>
      </c>
      <c r="K105" s="433">
        <f>'Pseudo-load coefficients'!K294</f>
        <v>0.47113235171517565</v>
      </c>
      <c r="L105" s="433">
        <f>'Pseudo-load coefficients'!L294</f>
        <v>0.54064082406152048</v>
      </c>
      <c r="M105" s="433">
        <f>'Pseudo-load coefficients'!M294</f>
        <v>0.54064082406152048</v>
      </c>
      <c r="N105" s="433">
        <f>'Pseudo-load coefficients'!N294</f>
        <v>0.4591762076598766</v>
      </c>
      <c r="O105" s="433">
        <f>'Pseudo-load coefficients'!O294</f>
        <v>0.39173799719769881</v>
      </c>
      <c r="P105" s="433">
        <f>'Pseudo-load coefficients'!P294</f>
        <v>0.41152132672555736</v>
      </c>
      <c r="Q105" s="433">
        <f>'Pseudo-load coefficients'!Q294</f>
        <v>0.28767351825463783</v>
      </c>
      <c r="R105" s="433">
        <f>'Pseudo-load coefficients'!R294</f>
        <v>0.36421431913897989</v>
      </c>
      <c r="S105" s="433">
        <f>'Pseudo-load coefficients'!S294</f>
        <v>0.36421431913897989</v>
      </c>
      <c r="T105" s="433">
        <f>'Pseudo-load coefficients'!T294</f>
        <v>0.36421431913897989</v>
      </c>
      <c r="U105" s="433">
        <f>'Pseudo-load coefficients'!U294</f>
        <v>0.36421431913897989</v>
      </c>
      <c r="V105" s="433">
        <f>'Pseudo-load coefficients'!V294</f>
        <v>0.36421431913897989</v>
      </c>
      <c r="W105" s="433">
        <f>'Pseudo-load coefficients'!W294</f>
        <v>0.36421431913897989</v>
      </c>
      <c r="X105" s="433">
        <f>'Pseudo-load coefficients'!X294</f>
        <v>0.36421431913897989</v>
      </c>
      <c r="Y105" s="433">
        <f>'Pseudo-load coefficients'!Y294</f>
        <v>0.36421431913897989</v>
      </c>
    </row>
    <row r="106" spans="3:25" x14ac:dyDescent="0.35">
      <c r="C106" s="32"/>
      <c r="E106" s="32"/>
      <c r="F106" s="191" t="s">
        <v>191</v>
      </c>
      <c r="G106" s="28" t="s">
        <v>283</v>
      </c>
      <c r="J106" s="194">
        <f>'Pseudo-load coefficients'!J294</f>
        <v>0.47113235171517565</v>
      </c>
      <c r="K106" s="194">
        <f>'Pseudo-load coefficients'!K294</f>
        <v>0.47113235171517565</v>
      </c>
      <c r="L106" s="194">
        <f>'Pseudo-load coefficients'!L294</f>
        <v>0.54064082406152048</v>
      </c>
      <c r="M106" s="194">
        <f>'Pseudo-load coefficients'!M294</f>
        <v>0.54064082406152048</v>
      </c>
      <c r="N106" s="194">
        <f>'Pseudo-load coefficients'!N294</f>
        <v>0.4591762076598766</v>
      </c>
      <c r="O106" s="194">
        <f>'Pseudo-load coefficients'!O294</f>
        <v>0.39173799719769881</v>
      </c>
      <c r="P106" s="194">
        <f>'Pseudo-load coefficients'!P294</f>
        <v>0.41152132672555736</v>
      </c>
      <c r="Q106" s="194">
        <f>'Pseudo-load coefficients'!Q294</f>
        <v>0.28767351825463783</v>
      </c>
      <c r="R106" s="194">
        <f>'Pseudo-load coefficients'!R294</f>
        <v>0.36421431913897989</v>
      </c>
      <c r="S106" s="194">
        <f>'Pseudo-load coefficients'!S294</f>
        <v>0.36421431913897989</v>
      </c>
      <c r="T106" s="194">
        <f>'Pseudo-load coefficients'!T294</f>
        <v>0.36421431913897989</v>
      </c>
      <c r="U106" s="194">
        <f>'Pseudo-load coefficients'!U294</f>
        <v>0.36421431913897989</v>
      </c>
      <c r="V106" s="194">
        <f>'Pseudo-load coefficients'!V294</f>
        <v>0.36421431913897989</v>
      </c>
      <c r="W106" s="194">
        <f>'Pseudo-load coefficients'!W294</f>
        <v>0.36421431913897989</v>
      </c>
      <c r="X106" s="194">
        <f>'Pseudo-load coefficients'!X294</f>
        <v>0.36421431913897989</v>
      </c>
      <c r="Y106" s="194">
        <f>'Pseudo-load coefficients'!Y294</f>
        <v>0.36421431913897989</v>
      </c>
    </row>
    <row r="107" spans="3:25" x14ac:dyDescent="0.35">
      <c r="C107" s="32"/>
      <c r="E107" s="32"/>
      <c r="F107" s="191" t="s">
        <v>192</v>
      </c>
      <c r="G107" s="28" t="s">
        <v>283</v>
      </c>
      <c r="J107" s="194">
        <f>'Pseudo-load coefficients'!J295</f>
        <v>0</v>
      </c>
      <c r="K107" s="194">
        <f>'Pseudo-load coefficients'!K295</f>
        <v>0</v>
      </c>
      <c r="L107" s="194">
        <f>'Pseudo-load coefficients'!L295</f>
        <v>0</v>
      </c>
      <c r="M107" s="194">
        <f>'Pseudo-load coefficients'!M295</f>
        <v>0</v>
      </c>
      <c r="N107" s="194">
        <f>'Pseudo-load coefficients'!N295</f>
        <v>0</v>
      </c>
      <c r="O107" s="194">
        <f>'Pseudo-load coefficients'!O295</f>
        <v>0</v>
      </c>
      <c r="P107" s="194">
        <f>'Pseudo-load coefficients'!P295</f>
        <v>0</v>
      </c>
      <c r="Q107" s="194">
        <f>'Pseudo-load coefficients'!Q295</f>
        <v>0</v>
      </c>
      <c r="R107" s="194">
        <f>'Pseudo-load coefficients'!R295</f>
        <v>0</v>
      </c>
      <c r="S107" s="194">
        <f>'Pseudo-load coefficients'!S295</f>
        <v>0</v>
      </c>
      <c r="T107" s="194">
        <f>'Pseudo-load coefficients'!T295</f>
        <v>0</v>
      </c>
      <c r="U107" s="194">
        <f>'Pseudo-load coefficients'!U295</f>
        <v>0</v>
      </c>
      <c r="V107" s="194">
        <f>'Pseudo-load coefficients'!V295</f>
        <v>0</v>
      </c>
      <c r="W107" s="194">
        <f>'Pseudo-load coefficients'!W295</f>
        <v>0</v>
      </c>
      <c r="X107" s="194">
        <f>'Pseudo-load coefficients'!X295</f>
        <v>0</v>
      </c>
      <c r="Y107" s="194">
        <f>'Pseudo-load coefficients'!Y295</f>
        <v>0</v>
      </c>
    </row>
    <row r="108" spans="3:25" x14ac:dyDescent="0.35">
      <c r="C108" s="32"/>
      <c r="E108" s="32"/>
      <c r="F108" s="191" t="s">
        <v>193</v>
      </c>
      <c r="G108" s="28" t="s">
        <v>283</v>
      </c>
      <c r="J108" s="194">
        <f>'Pseudo-load coefficients'!J296</f>
        <v>0</v>
      </c>
      <c r="K108" s="194">
        <f>'Pseudo-load coefficients'!K296</f>
        <v>0</v>
      </c>
      <c r="L108" s="194">
        <f>'Pseudo-load coefficients'!L296</f>
        <v>0</v>
      </c>
      <c r="M108" s="194">
        <f>'Pseudo-load coefficients'!M296</f>
        <v>0</v>
      </c>
      <c r="N108" s="194">
        <f>'Pseudo-load coefficients'!N296</f>
        <v>0</v>
      </c>
      <c r="O108" s="194">
        <f>'Pseudo-load coefficients'!O296</f>
        <v>0</v>
      </c>
      <c r="P108" s="194">
        <f>'Pseudo-load coefficients'!P296</f>
        <v>0</v>
      </c>
      <c r="Q108" s="194">
        <f>'Pseudo-load coefficients'!Q296</f>
        <v>0</v>
      </c>
      <c r="R108" s="194">
        <f>'Pseudo-load coefficients'!R296</f>
        <v>0</v>
      </c>
      <c r="S108" s="194">
        <f>'Pseudo-load coefficients'!S296</f>
        <v>0</v>
      </c>
      <c r="T108" s="194">
        <f>'Pseudo-load coefficients'!T296</f>
        <v>0</v>
      </c>
      <c r="U108" s="194">
        <f>'Pseudo-load coefficients'!U296</f>
        <v>0</v>
      </c>
      <c r="V108" s="194">
        <f>'Pseudo-load coefficients'!V296</f>
        <v>0</v>
      </c>
      <c r="W108" s="194">
        <f>'Pseudo-load coefficients'!W296</f>
        <v>0</v>
      </c>
      <c r="X108" s="194">
        <f>'Pseudo-load coefficients'!X296</f>
        <v>0</v>
      </c>
      <c r="Y108" s="194">
        <f>'Pseudo-load coefficients'!Y296</f>
        <v>0</v>
      </c>
    </row>
    <row r="109" spans="3:25" x14ac:dyDescent="0.35">
      <c r="C109" s="32"/>
      <c r="E109" s="32"/>
      <c r="F109" s="191" t="s">
        <v>194</v>
      </c>
      <c r="G109" s="28" t="s">
        <v>283</v>
      </c>
      <c r="J109" s="194">
        <f>'Pseudo-load coefficients'!J297</f>
        <v>0.39769191197116682</v>
      </c>
      <c r="K109" s="194">
        <f>'Pseudo-load coefficients'!K297</f>
        <v>0.39769191197116682</v>
      </c>
      <c r="L109" s="194">
        <f>'Pseudo-load coefficients'!L297</f>
        <v>0.45636535514478366</v>
      </c>
      <c r="M109" s="194">
        <f>'Pseudo-load coefficients'!M297</f>
        <v>0.45636535514478366</v>
      </c>
      <c r="N109" s="194">
        <f>'Pseudo-load coefficients'!N297</f>
        <v>0.38759949999426835</v>
      </c>
      <c r="O109" s="194">
        <f>'Pseudo-load coefficients'!O297</f>
        <v>0.33067360483767483</v>
      </c>
      <c r="P109" s="194">
        <f>'Pseudo-load coefficients'!P297</f>
        <v>0.34737309515381881</v>
      </c>
      <c r="Q109" s="194">
        <f>'Pseudo-load coefficients'!Q297</f>
        <v>0.24283076948900209</v>
      </c>
      <c r="R109" s="194">
        <f>'Pseudo-load coefficients'!R297</f>
        <v>0.30744033692091716</v>
      </c>
      <c r="S109" s="194">
        <f>'Pseudo-load coefficients'!S297</f>
        <v>0.30744033692091716</v>
      </c>
      <c r="T109" s="194">
        <f>'Pseudo-load coefficients'!T297</f>
        <v>0.30744033692091716</v>
      </c>
      <c r="U109" s="194">
        <f>'Pseudo-load coefficients'!U297</f>
        <v>0.30744033692091716</v>
      </c>
      <c r="V109" s="194">
        <f>'Pseudo-load coefficients'!V297</f>
        <v>0.30744033692091716</v>
      </c>
      <c r="W109" s="194">
        <f>'Pseudo-load coefficients'!W297</f>
        <v>0.30744033692091716</v>
      </c>
      <c r="X109" s="194">
        <f>'Pseudo-load coefficients'!X297</f>
        <v>0.30744033692091716</v>
      </c>
      <c r="Y109" s="194">
        <f>'Pseudo-load coefficients'!Y297</f>
        <v>0.30744033692091716</v>
      </c>
    </row>
    <row r="110" spans="3:25" x14ac:dyDescent="0.35">
      <c r="C110" s="32"/>
      <c r="E110" s="32"/>
      <c r="F110" s="191" t="s">
        <v>195</v>
      </c>
      <c r="G110" s="28" t="s">
        <v>283</v>
      </c>
      <c r="J110" s="194">
        <f>'Pseudo-load coefficients'!J298</f>
        <v>0.39769191197116682</v>
      </c>
      <c r="K110" s="194">
        <f>'Pseudo-load coefficients'!K298</f>
        <v>0.39769191197116682</v>
      </c>
      <c r="L110" s="194">
        <f>'Pseudo-load coefficients'!L298</f>
        <v>0.45636535514478366</v>
      </c>
      <c r="M110" s="194">
        <f>'Pseudo-load coefficients'!M298</f>
        <v>0.45636535514478366</v>
      </c>
      <c r="N110" s="194">
        <f>'Pseudo-load coefficients'!N298</f>
        <v>0.38759949999426835</v>
      </c>
      <c r="O110" s="194">
        <f>'Pseudo-load coefficients'!O298</f>
        <v>0.33067360483767483</v>
      </c>
      <c r="P110" s="194">
        <f>'Pseudo-load coefficients'!P298</f>
        <v>0.34737309515381881</v>
      </c>
      <c r="Q110" s="194">
        <f>'Pseudo-load coefficients'!Q298</f>
        <v>0.24283076948900209</v>
      </c>
      <c r="R110" s="194">
        <f>'Pseudo-load coefficients'!R298</f>
        <v>0.30744033692091716</v>
      </c>
      <c r="S110" s="194">
        <f>'Pseudo-load coefficients'!S298</f>
        <v>0.30744033692091716</v>
      </c>
      <c r="T110" s="194">
        <f>'Pseudo-load coefficients'!T298</f>
        <v>0.30744033692091716</v>
      </c>
      <c r="U110" s="194">
        <f>'Pseudo-load coefficients'!U298</f>
        <v>0.30744033692091716</v>
      </c>
      <c r="V110" s="194">
        <f>'Pseudo-load coefficients'!V298</f>
        <v>0.30744033692091716</v>
      </c>
      <c r="W110" s="194">
        <f>'Pseudo-load coefficients'!W298</f>
        <v>0.30744033692091716</v>
      </c>
      <c r="X110" s="194">
        <f>'Pseudo-load coefficients'!X298</f>
        <v>0.30744033692091716</v>
      </c>
      <c r="Y110" s="194">
        <f>'Pseudo-load coefficients'!Y298</f>
        <v>0.30744033692091716</v>
      </c>
    </row>
    <row r="111" spans="3:25" x14ac:dyDescent="0.35">
      <c r="C111" s="32"/>
      <c r="E111" s="32"/>
      <c r="F111" s="191" t="s">
        <v>196</v>
      </c>
      <c r="G111" s="28" t="s">
        <v>283</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35">
      <c r="C112" s="32"/>
      <c r="E112" s="32"/>
      <c r="F112" s="191" t="s">
        <v>197</v>
      </c>
      <c r="G112" s="28" t="s">
        <v>283</v>
      </c>
      <c r="J112" s="194">
        <f>'Pseudo-load coefficients'!J300</f>
        <v>0.45071750023398915</v>
      </c>
      <c r="K112" s="194">
        <f>'Pseudo-load coefficients'!K300</f>
        <v>0.45071750023398915</v>
      </c>
      <c r="L112" s="194">
        <f>'Pseudo-load coefficients'!L300</f>
        <v>0.5172140691640883</v>
      </c>
      <c r="M112" s="194">
        <f>'Pseudo-load coefficients'!M300</f>
        <v>0.5172140691640883</v>
      </c>
      <c r="N112" s="194">
        <f>'Pseudo-load coefficients'!N300</f>
        <v>0.4392794333268375</v>
      </c>
      <c r="O112" s="194">
        <f>'Pseudo-load coefficients'!O300</f>
        <v>0.37476341881603153</v>
      </c>
      <c r="P112" s="194">
        <f>'Pseudo-load coefficients'!P300</f>
        <v>0.39368950784099471</v>
      </c>
      <c r="Q112" s="194">
        <f>'Pseudo-load coefficients'!Q300</f>
        <v>0.2752082054208691</v>
      </c>
      <c r="R112" s="194">
        <f>'Pseudo-load coefficients'!R300</f>
        <v>0.34843238184370617</v>
      </c>
      <c r="S112" s="194">
        <f>'Pseudo-load coefficients'!S300</f>
        <v>0.34843238184370617</v>
      </c>
      <c r="T112" s="194">
        <f>'Pseudo-load coefficients'!T300</f>
        <v>0.34843238184370617</v>
      </c>
      <c r="U112" s="194">
        <f>'Pseudo-load coefficients'!U300</f>
        <v>0.34843238184370617</v>
      </c>
      <c r="V112" s="194">
        <f>'Pseudo-load coefficients'!V300</f>
        <v>0.34843238184370617</v>
      </c>
      <c r="W112" s="194">
        <f>'Pseudo-load coefficients'!W300</f>
        <v>0.34843238184370617</v>
      </c>
      <c r="X112" s="194">
        <f>'Pseudo-load coefficients'!X300</f>
        <v>0.34843238184370617</v>
      </c>
      <c r="Y112" s="194">
        <f>'Pseudo-load coefficients'!Y300</f>
        <v>0.34843238184370617</v>
      </c>
    </row>
    <row r="113" spans="2:27" x14ac:dyDescent="0.35">
      <c r="C113" s="32"/>
      <c r="E113" s="32"/>
      <c r="F113" s="191" t="s">
        <v>198</v>
      </c>
      <c r="G113" s="28" t="s">
        <v>283</v>
      </c>
      <c r="J113" s="194">
        <f>'Pseudo-load coefficients'!J301</f>
        <v>0.45071750023398915</v>
      </c>
      <c r="K113" s="194">
        <f>'Pseudo-load coefficients'!K301</f>
        <v>0.45071750023398915</v>
      </c>
      <c r="L113" s="194">
        <f>'Pseudo-load coefficients'!L301</f>
        <v>0.5172140691640883</v>
      </c>
      <c r="M113" s="194">
        <f>'Pseudo-load coefficients'!M301</f>
        <v>0.5172140691640883</v>
      </c>
      <c r="N113" s="194">
        <f>'Pseudo-load coefficients'!N301</f>
        <v>0.4392794333268375</v>
      </c>
      <c r="O113" s="194">
        <f>'Pseudo-load coefficients'!O301</f>
        <v>0.37476341881603153</v>
      </c>
      <c r="P113" s="194">
        <f>'Pseudo-load coefficients'!P301</f>
        <v>0.39368950784099471</v>
      </c>
      <c r="Q113" s="194">
        <f>'Pseudo-load coefficients'!Q301</f>
        <v>0.2752082054208691</v>
      </c>
      <c r="R113" s="194">
        <f>'Pseudo-load coefficients'!R301</f>
        <v>0.34843238184370617</v>
      </c>
      <c r="S113" s="194">
        <f>'Pseudo-load coefficients'!S301</f>
        <v>0.34843238184370617</v>
      </c>
      <c r="T113" s="194">
        <f>'Pseudo-load coefficients'!T301</f>
        <v>0.34843238184370617</v>
      </c>
      <c r="U113" s="194">
        <f>'Pseudo-load coefficients'!U301</f>
        <v>0.34843238184370617</v>
      </c>
      <c r="V113" s="194">
        <f>'Pseudo-load coefficients'!V301</f>
        <v>0.34843238184370617</v>
      </c>
      <c r="W113" s="194">
        <f>'Pseudo-load coefficients'!W301</f>
        <v>0.34843238184370617</v>
      </c>
      <c r="X113" s="194">
        <f>'Pseudo-load coefficients'!X301</f>
        <v>0.34843238184370617</v>
      </c>
      <c r="Y113" s="194">
        <f>'Pseudo-load coefficients'!Y301</f>
        <v>0.34843238184370617</v>
      </c>
    </row>
    <row r="114" spans="2:27" x14ac:dyDescent="0.35">
      <c r="C114" s="32"/>
      <c r="E114" s="32"/>
      <c r="F114" s="192" t="s">
        <v>199</v>
      </c>
      <c r="G114" s="67" t="s">
        <v>283</v>
      </c>
      <c r="H114" s="37"/>
      <c r="I114" s="37"/>
      <c r="J114" s="195">
        <f>'Pseudo-load coefficients'!J302</f>
        <v>0.45071750023398915</v>
      </c>
      <c r="K114" s="195">
        <f>'Pseudo-load coefficients'!K302</f>
        <v>0.45071750023398915</v>
      </c>
      <c r="L114" s="195">
        <f>'Pseudo-load coefficients'!L302</f>
        <v>0.5172140691640883</v>
      </c>
      <c r="M114" s="195">
        <f>'Pseudo-load coefficients'!M302</f>
        <v>0.5172140691640883</v>
      </c>
      <c r="N114" s="195">
        <f>'Pseudo-load coefficients'!N302</f>
        <v>0.4392794333268375</v>
      </c>
      <c r="O114" s="195">
        <f>'Pseudo-load coefficients'!O302</f>
        <v>0.37476341881603153</v>
      </c>
      <c r="P114" s="195">
        <f>'Pseudo-load coefficients'!P302</f>
        <v>0.39368950784099471</v>
      </c>
      <c r="Q114" s="195">
        <f>'Pseudo-load coefficients'!Q302</f>
        <v>0.2752082054208691</v>
      </c>
      <c r="R114" s="195">
        <f>'Pseudo-load coefficients'!R302</f>
        <v>0.34843238184370617</v>
      </c>
      <c r="S114" s="195">
        <f>'Pseudo-load coefficients'!S302</f>
        <v>0.34843238184370617</v>
      </c>
      <c r="T114" s="195">
        <f>'Pseudo-load coefficients'!T302</f>
        <v>0.34843238184370617</v>
      </c>
      <c r="U114" s="195">
        <f>'Pseudo-load coefficients'!U302</f>
        <v>0.34843238184370617</v>
      </c>
      <c r="V114" s="195">
        <f>'Pseudo-load coefficients'!V302</f>
        <v>0.34843238184370617</v>
      </c>
      <c r="W114" s="195">
        <f>'Pseudo-load coefficients'!W302</f>
        <v>0.34843238184370617</v>
      </c>
      <c r="X114" s="195">
        <f>'Pseudo-load coefficients'!X302</f>
        <v>0.34843238184370617</v>
      </c>
      <c r="Y114" s="195">
        <f>'Pseudo-load coefficients'!Y302</f>
        <v>0.34843238184370617</v>
      </c>
    </row>
    <row r="115" spans="2:27" x14ac:dyDescent="0.3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35">
      <c r="B116" s="30" t="s">
        <v>619</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35">
      <c r="J117" s="89"/>
      <c r="K117" s="89"/>
      <c r="L117" s="89"/>
      <c r="M117" s="89"/>
      <c r="N117" s="89"/>
      <c r="O117" s="89"/>
      <c r="P117" s="89"/>
      <c r="Q117" s="89"/>
      <c r="R117" s="89"/>
      <c r="S117" s="89"/>
      <c r="T117" s="89"/>
      <c r="U117" s="89"/>
      <c r="V117" s="89"/>
      <c r="W117" s="89"/>
      <c r="X117" s="89"/>
      <c r="Y117" s="89"/>
    </row>
    <row r="118" spans="2:27" x14ac:dyDescent="0.3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35">
      <c r="C119" s="32"/>
      <c r="D119" s="32"/>
      <c r="E119" s="32"/>
      <c r="J119" s="89"/>
      <c r="K119" s="89"/>
      <c r="L119" s="89"/>
      <c r="M119" s="89"/>
      <c r="N119" s="89"/>
      <c r="O119" s="89"/>
      <c r="P119" s="89"/>
      <c r="Q119" s="89"/>
      <c r="R119" s="89"/>
      <c r="S119" s="89"/>
      <c r="T119" s="89"/>
      <c r="U119" s="89"/>
      <c r="V119" s="89"/>
      <c r="W119" s="89"/>
      <c r="X119" s="89"/>
      <c r="Y119" s="89"/>
    </row>
    <row r="120" spans="2:27" x14ac:dyDescent="0.35">
      <c r="D120" s="29" t="s">
        <v>620</v>
      </c>
      <c r="E120" s="32"/>
      <c r="F120" s="32"/>
      <c r="J120" s="163"/>
      <c r="K120" s="163"/>
      <c r="L120" s="163"/>
      <c r="M120" s="163"/>
      <c r="N120" s="163"/>
      <c r="O120" s="163"/>
      <c r="P120" s="163"/>
      <c r="Q120" s="163"/>
      <c r="R120" s="163"/>
      <c r="S120" s="163"/>
      <c r="T120" s="163"/>
      <c r="U120" s="163"/>
      <c r="V120" s="163"/>
      <c r="W120" s="163"/>
      <c r="X120" s="163"/>
      <c r="Y120" s="163"/>
    </row>
    <row r="121" spans="2:27" x14ac:dyDescent="0.35">
      <c r="D121" s="32"/>
      <c r="E121" s="32"/>
      <c r="F121" s="32"/>
      <c r="I121" s="3" t="s">
        <v>154</v>
      </c>
      <c r="J121" s="163"/>
      <c r="K121" s="163"/>
      <c r="L121" s="163"/>
      <c r="M121" s="163"/>
      <c r="N121" s="163"/>
      <c r="O121" s="163"/>
      <c r="P121" s="163"/>
      <c r="Q121" s="163"/>
      <c r="R121" s="163"/>
      <c r="S121" s="163"/>
      <c r="T121" s="163"/>
      <c r="U121" s="163"/>
      <c r="V121" s="163"/>
      <c r="W121" s="163"/>
      <c r="X121" s="163"/>
      <c r="Y121" s="163"/>
      <c r="AA121" t="s">
        <v>615</v>
      </c>
    </row>
    <row r="122" spans="2:27" x14ac:dyDescent="0.35">
      <c r="E122" s="32" t="s">
        <v>621</v>
      </c>
      <c r="J122" s="89"/>
      <c r="K122" s="89"/>
      <c r="L122" s="89"/>
      <c r="M122" s="89"/>
      <c r="N122" s="89"/>
      <c r="O122" s="89"/>
      <c r="P122" s="89"/>
      <c r="Q122" s="89"/>
      <c r="R122" s="89"/>
      <c r="S122" s="89"/>
      <c r="T122" s="89"/>
      <c r="U122" s="89"/>
      <c r="V122" s="89"/>
      <c r="W122" s="89"/>
      <c r="X122" s="89"/>
      <c r="Y122" s="89"/>
    </row>
    <row r="123" spans="2:27" x14ac:dyDescent="0.35">
      <c r="E123" s="32"/>
      <c r="F123" s="190" t="s">
        <v>189</v>
      </c>
      <c r="G123" s="23" t="s">
        <v>269</v>
      </c>
      <c r="H123" s="266"/>
      <c r="I123" s="266"/>
      <c r="J123" s="274">
        <f t="shared" ref="J123:Y123" si="0">hundred * $H18 * J55 / $H43 * J$78 * (1 - J67) / hours_in_year</f>
        <v>0</v>
      </c>
      <c r="K123" s="274">
        <f t="shared" si="0"/>
        <v>0</v>
      </c>
      <c r="L123" s="274">
        <f t="shared" si="0"/>
        <v>0</v>
      </c>
      <c r="M123" s="274">
        <f t="shared" si="0"/>
        <v>0</v>
      </c>
      <c r="N123" s="274">
        <f t="shared" si="0"/>
        <v>0</v>
      </c>
      <c r="O123" s="274">
        <f t="shared" si="0"/>
        <v>0</v>
      </c>
      <c r="P123" s="274">
        <f t="shared" si="0"/>
        <v>0</v>
      </c>
      <c r="Q123" s="274">
        <f t="shared" si="0"/>
        <v>0</v>
      </c>
      <c r="R123" s="274">
        <f t="shared" si="0"/>
        <v>0</v>
      </c>
      <c r="S123" s="274">
        <f t="shared" si="0"/>
        <v>0</v>
      </c>
      <c r="T123" s="274">
        <f t="shared" si="0"/>
        <v>0</v>
      </c>
      <c r="U123" s="274">
        <f t="shared" si="0"/>
        <v>0</v>
      </c>
      <c r="V123" s="274">
        <f t="shared" si="0"/>
        <v>0</v>
      </c>
      <c r="W123" s="274">
        <f t="shared" si="0"/>
        <v>0</v>
      </c>
      <c r="X123" s="274">
        <f t="shared" si="0"/>
        <v>0</v>
      </c>
      <c r="Y123" s="274">
        <f t="shared" si="0"/>
        <v>0</v>
      </c>
      <c r="Z123" s="267"/>
      <c r="AA123" s="267"/>
    </row>
    <row r="124" spans="2:27" x14ac:dyDescent="0.35">
      <c r="E124" s="32"/>
      <c r="F124" s="191" t="s">
        <v>191</v>
      </c>
      <c r="G124" t="s">
        <v>269</v>
      </c>
      <c r="H124" s="267"/>
      <c r="I124" s="267"/>
      <c r="J124" s="275">
        <f t="shared" ref="J124:Y124" si="1">hundred * $H19 * J56 / $H44 * J$78 * (1 - J68) / hours_in_year</f>
        <v>0</v>
      </c>
      <c r="K124" s="275">
        <f t="shared" si="1"/>
        <v>0</v>
      </c>
      <c r="L124" s="275">
        <f t="shared" si="1"/>
        <v>0</v>
      </c>
      <c r="M124" s="275">
        <f t="shared" si="1"/>
        <v>0</v>
      </c>
      <c r="N124" s="275">
        <f t="shared" si="1"/>
        <v>0</v>
      </c>
      <c r="O124" s="275">
        <f t="shared" si="1"/>
        <v>0</v>
      </c>
      <c r="P124" s="275">
        <f t="shared" si="1"/>
        <v>0</v>
      </c>
      <c r="Q124" s="275">
        <f t="shared" si="1"/>
        <v>0</v>
      </c>
      <c r="R124" s="275">
        <f t="shared" si="1"/>
        <v>0</v>
      </c>
      <c r="S124" s="275">
        <f t="shared" si="1"/>
        <v>0</v>
      </c>
      <c r="T124" s="275">
        <f t="shared" si="1"/>
        <v>0</v>
      </c>
      <c r="U124" s="275">
        <f t="shared" si="1"/>
        <v>0</v>
      </c>
      <c r="V124" s="275">
        <f t="shared" si="1"/>
        <v>0</v>
      </c>
      <c r="W124" s="275">
        <f t="shared" si="1"/>
        <v>0</v>
      </c>
      <c r="X124" s="275">
        <f t="shared" si="1"/>
        <v>0</v>
      </c>
      <c r="Y124" s="275">
        <f t="shared" si="1"/>
        <v>0</v>
      </c>
      <c r="Z124" s="267"/>
      <c r="AA124" s="267"/>
    </row>
    <row r="125" spans="2:27" x14ac:dyDescent="0.35">
      <c r="E125" s="32"/>
      <c r="F125" s="191" t="s">
        <v>192</v>
      </c>
      <c r="G125" t="s">
        <v>269</v>
      </c>
      <c r="H125" s="267"/>
      <c r="I125" s="267"/>
      <c r="J125" s="275">
        <f t="shared" ref="J125:Y125" si="2">hundred * $H20 * J57 / $H45 * J$78 * (1 - J69) / hours_in_year</f>
        <v>0</v>
      </c>
      <c r="K125" s="275">
        <f t="shared" si="2"/>
        <v>0</v>
      </c>
      <c r="L125" s="275">
        <f t="shared" si="2"/>
        <v>0</v>
      </c>
      <c r="M125" s="275">
        <f t="shared" si="2"/>
        <v>0</v>
      </c>
      <c r="N125" s="275">
        <f t="shared" si="2"/>
        <v>0</v>
      </c>
      <c r="O125" s="275">
        <f t="shared" si="2"/>
        <v>0</v>
      </c>
      <c r="P125" s="275">
        <f t="shared" si="2"/>
        <v>0</v>
      </c>
      <c r="Q125" s="275">
        <f t="shared" si="2"/>
        <v>0</v>
      </c>
      <c r="R125" s="275">
        <f t="shared" si="2"/>
        <v>0</v>
      </c>
      <c r="S125" s="275">
        <f t="shared" si="2"/>
        <v>0</v>
      </c>
      <c r="T125" s="275">
        <f t="shared" si="2"/>
        <v>0</v>
      </c>
      <c r="U125" s="275">
        <f t="shared" si="2"/>
        <v>0</v>
      </c>
      <c r="V125" s="275">
        <f t="shared" si="2"/>
        <v>0</v>
      </c>
      <c r="W125" s="275">
        <f t="shared" si="2"/>
        <v>0</v>
      </c>
      <c r="X125" s="275">
        <f t="shared" si="2"/>
        <v>0</v>
      </c>
      <c r="Y125" s="275">
        <f t="shared" si="2"/>
        <v>0</v>
      </c>
      <c r="Z125" s="267"/>
      <c r="AA125" s="267"/>
    </row>
    <row r="126" spans="2:27" x14ac:dyDescent="0.35">
      <c r="E126" s="32"/>
      <c r="F126" s="191" t="s">
        <v>193</v>
      </c>
      <c r="G126" t="s">
        <v>269</v>
      </c>
      <c r="H126" s="267"/>
      <c r="I126" s="267"/>
      <c r="J126" s="275">
        <f t="shared" ref="J126:Y126" si="3">hundred * $H21 * J58 / $H46 * J$78 * (1 - J70) / hours_in_year</f>
        <v>0</v>
      </c>
      <c r="K126" s="275">
        <f t="shared" si="3"/>
        <v>0</v>
      </c>
      <c r="L126" s="275">
        <f t="shared" si="3"/>
        <v>0</v>
      </c>
      <c r="M126" s="275">
        <f t="shared" si="3"/>
        <v>0</v>
      </c>
      <c r="N126" s="275">
        <f t="shared" si="3"/>
        <v>0</v>
      </c>
      <c r="O126" s="275">
        <f t="shared" si="3"/>
        <v>0</v>
      </c>
      <c r="P126" s="275">
        <f t="shared" si="3"/>
        <v>0</v>
      </c>
      <c r="Q126" s="275">
        <f t="shared" si="3"/>
        <v>0</v>
      </c>
      <c r="R126" s="275">
        <f t="shared" si="3"/>
        <v>0</v>
      </c>
      <c r="S126" s="275">
        <f t="shared" si="3"/>
        <v>0</v>
      </c>
      <c r="T126" s="275">
        <f t="shared" si="3"/>
        <v>0</v>
      </c>
      <c r="U126" s="275">
        <f t="shared" si="3"/>
        <v>0</v>
      </c>
      <c r="V126" s="275">
        <f t="shared" si="3"/>
        <v>0</v>
      </c>
      <c r="W126" s="275">
        <f t="shared" si="3"/>
        <v>0</v>
      </c>
      <c r="X126" s="275">
        <f t="shared" si="3"/>
        <v>0</v>
      </c>
      <c r="Y126" s="275">
        <f t="shared" si="3"/>
        <v>0</v>
      </c>
      <c r="Z126" s="267"/>
      <c r="AA126" s="267"/>
    </row>
    <row r="127" spans="2:27" x14ac:dyDescent="0.35">
      <c r="E127" s="32"/>
      <c r="F127" s="191" t="s">
        <v>194</v>
      </c>
      <c r="G127" t="s">
        <v>269</v>
      </c>
      <c r="H127" s="267"/>
      <c r="I127" s="267"/>
      <c r="J127" s="275">
        <f t="shared" ref="J127:Y127" si="4">hundred * $H22 * J59 / $H47 * J$78 * (1 - J71) / hours_in_year</f>
        <v>0.18154197525604587</v>
      </c>
      <c r="K127" s="275">
        <f t="shared" si="4"/>
        <v>0.18154197525604587</v>
      </c>
      <c r="L127" s="275">
        <f t="shared" si="4"/>
        <v>0.18655699901918471</v>
      </c>
      <c r="M127" s="275">
        <f t="shared" si="4"/>
        <v>0.18655699901918471</v>
      </c>
      <c r="N127" s="275">
        <f t="shared" si="4"/>
        <v>0.15636211107035611</v>
      </c>
      <c r="O127" s="275">
        <f t="shared" si="4"/>
        <v>0.12482801849881127</v>
      </c>
      <c r="P127" s="275">
        <f t="shared" si="4"/>
        <v>0.12515610296843255</v>
      </c>
      <c r="Q127" s="275">
        <f t="shared" si="4"/>
        <v>0.18620218278587891</v>
      </c>
      <c r="R127" s="275">
        <f t="shared" si="4"/>
        <v>-0.11096977567281442</v>
      </c>
      <c r="S127" s="275">
        <f t="shared" si="4"/>
        <v>-0.10713278615910472</v>
      </c>
      <c r="T127" s="275">
        <f t="shared" si="4"/>
        <v>-0.11096977567281442</v>
      </c>
      <c r="U127" s="275">
        <f t="shared" si="4"/>
        <v>-0.11096977567281442</v>
      </c>
      <c r="V127" s="275">
        <f t="shared" si="4"/>
        <v>-0.10713278615910472</v>
      </c>
      <c r="W127" s="275">
        <f t="shared" si="4"/>
        <v>-0.10713278615910472</v>
      </c>
      <c r="X127" s="275">
        <f t="shared" si="4"/>
        <v>-0.10415466078055508</v>
      </c>
      <c r="Y127" s="275">
        <f t="shared" si="4"/>
        <v>-0.10415466078055508</v>
      </c>
      <c r="Z127" s="267"/>
      <c r="AA127" s="267"/>
    </row>
    <row r="128" spans="2:27" x14ac:dyDescent="0.35">
      <c r="E128" s="32"/>
      <c r="F128" s="191" t="s">
        <v>195</v>
      </c>
      <c r="G128" t="s">
        <v>269</v>
      </c>
      <c r="H128" s="267"/>
      <c r="I128" s="267"/>
      <c r="J128" s="275">
        <f t="shared" ref="J128:Y128" si="5">hundred * $H23 * J60 / $H48 * J$78 * (1 - J72) / hours_in_year</f>
        <v>0.16463413881953357</v>
      </c>
      <c r="K128" s="275">
        <f t="shared" si="5"/>
        <v>0.16463413881953357</v>
      </c>
      <c r="L128" s="275">
        <f t="shared" si="5"/>
        <v>0.16918209042818699</v>
      </c>
      <c r="M128" s="275">
        <f t="shared" si="5"/>
        <v>0.16918209042818699</v>
      </c>
      <c r="N128" s="275">
        <f t="shared" si="5"/>
        <v>0.14179939082278453</v>
      </c>
      <c r="O128" s="275">
        <f t="shared" si="5"/>
        <v>0.11320221286077581</v>
      </c>
      <c r="P128" s="275">
        <f t="shared" si="5"/>
        <v>0.11371412698277993</v>
      </c>
      <c r="Q128" s="275">
        <f t="shared" si="5"/>
        <v>0.16886031985734737</v>
      </c>
      <c r="R128" s="275">
        <f t="shared" si="5"/>
        <v>-0.10063465172241041</v>
      </c>
      <c r="S128" s="275">
        <f t="shared" si="5"/>
        <v>-9.7155018632827522E-2</v>
      </c>
      <c r="T128" s="275">
        <f t="shared" si="5"/>
        <v>-0.10063465172241041</v>
      </c>
      <c r="U128" s="275">
        <f t="shared" si="5"/>
        <v>-0.10063465172241041</v>
      </c>
      <c r="V128" s="275">
        <f t="shared" si="5"/>
        <v>-9.7155018632827522E-2</v>
      </c>
      <c r="W128" s="275">
        <f t="shared" si="5"/>
        <v>-9.7155018632827522E-2</v>
      </c>
      <c r="X128" s="275">
        <f t="shared" si="5"/>
        <v>-9.4632671047897035E-2</v>
      </c>
      <c r="Y128" s="275">
        <f t="shared" si="5"/>
        <v>-9.4632671047897035E-2</v>
      </c>
      <c r="Z128" s="267"/>
      <c r="AA128" s="267"/>
    </row>
    <row r="129" spans="4:27" x14ac:dyDescent="0.35">
      <c r="E129" s="32"/>
      <c r="F129" s="191" t="s">
        <v>196</v>
      </c>
      <c r="G129" t="s">
        <v>269</v>
      </c>
      <c r="H129" s="267"/>
      <c r="I129" s="267"/>
      <c r="J129" s="275">
        <f t="shared" ref="J129:Y129" si="6">hundred * $H24 * J61 / $H49 * J$78 * (1 - J73) / hours_in_year</f>
        <v>0</v>
      </c>
      <c r="K129" s="275">
        <f t="shared" si="6"/>
        <v>0</v>
      </c>
      <c r="L129" s="275">
        <f t="shared" si="6"/>
        <v>0</v>
      </c>
      <c r="M129" s="275">
        <f t="shared" si="6"/>
        <v>0</v>
      </c>
      <c r="N129" s="275">
        <f t="shared" si="6"/>
        <v>0</v>
      </c>
      <c r="O129" s="275">
        <f t="shared" si="6"/>
        <v>0</v>
      </c>
      <c r="P129" s="275">
        <f t="shared" si="6"/>
        <v>0</v>
      </c>
      <c r="Q129" s="275">
        <f t="shared" si="6"/>
        <v>0</v>
      </c>
      <c r="R129" s="275">
        <f t="shared" si="6"/>
        <v>0</v>
      </c>
      <c r="S129" s="275">
        <f t="shared" si="6"/>
        <v>0</v>
      </c>
      <c r="T129" s="275">
        <f t="shared" si="6"/>
        <v>0</v>
      </c>
      <c r="U129" s="275">
        <f t="shared" si="6"/>
        <v>0</v>
      </c>
      <c r="V129" s="275">
        <f t="shared" si="6"/>
        <v>0</v>
      </c>
      <c r="W129" s="275">
        <f t="shared" si="6"/>
        <v>0</v>
      </c>
      <c r="X129" s="275">
        <f t="shared" si="6"/>
        <v>0</v>
      </c>
      <c r="Y129" s="275">
        <f t="shared" si="6"/>
        <v>0</v>
      </c>
      <c r="Z129" s="267"/>
      <c r="AA129" s="267"/>
    </row>
    <row r="130" spans="4:27" x14ac:dyDescent="0.35">
      <c r="E130" s="32"/>
      <c r="F130" s="191" t="s">
        <v>197</v>
      </c>
      <c r="G130" t="s">
        <v>269</v>
      </c>
      <c r="H130" s="267"/>
      <c r="I130" s="267"/>
      <c r="J130" s="275">
        <f t="shared" ref="J130:Y130" si="7">hundred * $H25 * J62 / $H50 * J$78 * (1 - J74) / hours_in_year</f>
        <v>0.39266020850168448</v>
      </c>
      <c r="K130" s="275">
        <f t="shared" si="7"/>
        <v>0.39266020850168448</v>
      </c>
      <c r="L130" s="275">
        <f t="shared" si="7"/>
        <v>0.40350728821257587</v>
      </c>
      <c r="M130" s="275">
        <f t="shared" si="7"/>
        <v>0.40350728821257587</v>
      </c>
      <c r="N130" s="275">
        <f t="shared" si="7"/>
        <v>0.3381982544150206</v>
      </c>
      <c r="O130" s="275">
        <f t="shared" si="7"/>
        <v>0.26999263229049297</v>
      </c>
      <c r="P130" s="275">
        <f t="shared" si="7"/>
        <v>0.28931004558149404</v>
      </c>
      <c r="Q130" s="275">
        <f t="shared" si="7"/>
        <v>0.40273985018094077</v>
      </c>
      <c r="R130" s="275">
        <f t="shared" si="7"/>
        <v>-0.24001840451287779</v>
      </c>
      <c r="S130" s="275">
        <f t="shared" si="7"/>
        <v>-0.23171931500287835</v>
      </c>
      <c r="T130" s="275">
        <f t="shared" si="7"/>
        <v>-0.24001840451287779</v>
      </c>
      <c r="U130" s="275">
        <f t="shared" si="7"/>
        <v>-0.24001840451287779</v>
      </c>
      <c r="V130" s="275">
        <f t="shared" si="7"/>
        <v>-0.23171931500287835</v>
      </c>
      <c r="W130" s="275">
        <f t="shared" si="7"/>
        <v>-0.23171931500287835</v>
      </c>
      <c r="X130" s="275">
        <f t="shared" si="7"/>
        <v>0</v>
      </c>
      <c r="Y130" s="275">
        <f t="shared" si="7"/>
        <v>0</v>
      </c>
      <c r="Z130" s="267"/>
      <c r="AA130" s="267"/>
    </row>
    <row r="131" spans="4:27" x14ac:dyDescent="0.35">
      <c r="E131" s="32"/>
      <c r="F131" s="191" t="s">
        <v>198</v>
      </c>
      <c r="G131" t="s">
        <v>269</v>
      </c>
      <c r="H131" s="267"/>
      <c r="I131" s="267"/>
      <c r="J131" s="275">
        <f t="shared" ref="J131:Y131" si="8">hundred * $H26 * J63 / $H51 * J$78 * (1 - J75) / hours_in_year</f>
        <v>3.5962309082958638E-2</v>
      </c>
      <c r="K131" s="275">
        <f t="shared" si="8"/>
        <v>3.5962309082958638E-2</v>
      </c>
      <c r="L131" s="275">
        <f t="shared" si="8"/>
        <v>3.6955753350456616E-2</v>
      </c>
      <c r="M131" s="275">
        <f t="shared" si="8"/>
        <v>3.6955753350456616E-2</v>
      </c>
      <c r="N131" s="275">
        <f t="shared" si="8"/>
        <v>3.0974338354781042E-2</v>
      </c>
      <c r="O131" s="275">
        <f t="shared" si="8"/>
        <v>2.472763545255096E-2</v>
      </c>
      <c r="P131" s="275">
        <f t="shared" si="8"/>
        <v>0</v>
      </c>
      <c r="Q131" s="275">
        <f t="shared" si="8"/>
        <v>3.6885466514413344E-2</v>
      </c>
      <c r="R131" s="275">
        <f t="shared" si="8"/>
        <v>-2.1982405809917133E-2</v>
      </c>
      <c r="S131" s="275">
        <f t="shared" si="8"/>
        <v>0</v>
      </c>
      <c r="T131" s="275">
        <f t="shared" si="8"/>
        <v>-2.1982405809917133E-2</v>
      </c>
      <c r="U131" s="275">
        <f t="shared" si="8"/>
        <v>-2.1982405809917133E-2</v>
      </c>
      <c r="V131" s="275">
        <f t="shared" si="8"/>
        <v>0</v>
      </c>
      <c r="W131" s="275">
        <f t="shared" si="8"/>
        <v>0</v>
      </c>
      <c r="X131" s="275">
        <f t="shared" si="8"/>
        <v>0</v>
      </c>
      <c r="Y131" s="275">
        <f t="shared" si="8"/>
        <v>0</v>
      </c>
      <c r="Z131" s="267"/>
      <c r="AA131" s="267"/>
    </row>
    <row r="132" spans="4:27" x14ac:dyDescent="0.35">
      <c r="E132" s="32"/>
      <c r="F132" s="192" t="s">
        <v>199</v>
      </c>
      <c r="G132" s="37" t="s">
        <v>269</v>
      </c>
      <c r="H132" s="269"/>
      <c r="I132" s="269"/>
      <c r="J132" s="276">
        <f t="shared" ref="J132:Y132" si="9">hundred * $H27 * J64 / $H52 * J$78 * (1 - J76) / hours_in_year</f>
        <v>1.3060024820808888E-2</v>
      </c>
      <c r="K132" s="276">
        <f t="shared" si="9"/>
        <v>1.3060024820808888E-2</v>
      </c>
      <c r="L132" s="276">
        <f t="shared" si="9"/>
        <v>1.3420802733086001E-2</v>
      </c>
      <c r="M132" s="276">
        <f t="shared" si="9"/>
        <v>1.3420802733086001E-2</v>
      </c>
      <c r="N132" s="276">
        <f t="shared" si="9"/>
        <v>1.1248599938018572E-2</v>
      </c>
      <c r="O132" s="276">
        <f t="shared" si="9"/>
        <v>0</v>
      </c>
      <c r="P132" s="276">
        <f t="shared" si="9"/>
        <v>0</v>
      </c>
      <c r="Q132" s="276">
        <f t="shared" si="9"/>
        <v>1.3395277458243838E-2</v>
      </c>
      <c r="R132" s="276">
        <f t="shared" si="9"/>
        <v>0</v>
      </c>
      <c r="S132" s="276">
        <f t="shared" si="9"/>
        <v>0</v>
      </c>
      <c r="T132" s="276">
        <f t="shared" si="9"/>
        <v>0</v>
      </c>
      <c r="U132" s="276">
        <f t="shared" si="9"/>
        <v>0</v>
      </c>
      <c r="V132" s="276">
        <f t="shared" si="9"/>
        <v>0</v>
      </c>
      <c r="W132" s="276">
        <f t="shared" si="9"/>
        <v>0</v>
      </c>
      <c r="X132" s="276">
        <f t="shared" si="9"/>
        <v>0</v>
      </c>
      <c r="Y132" s="276">
        <f t="shared" si="9"/>
        <v>0</v>
      </c>
      <c r="Z132" s="267"/>
      <c r="AA132" s="267"/>
    </row>
    <row r="133" spans="4:27" x14ac:dyDescent="0.35">
      <c r="E133" s="32"/>
      <c r="F133" s="191"/>
      <c r="J133" s="89"/>
      <c r="K133" s="89"/>
      <c r="L133" s="89"/>
      <c r="M133" s="89"/>
      <c r="N133" s="89"/>
      <c r="O133" s="89"/>
      <c r="P133" s="89"/>
      <c r="Q133" s="89"/>
      <c r="R133" s="89"/>
      <c r="S133" s="89"/>
      <c r="T133" s="89"/>
      <c r="U133" s="89"/>
      <c r="V133" s="89"/>
      <c r="W133" s="89"/>
      <c r="X133" s="89"/>
      <c r="Y133" s="89"/>
    </row>
    <row r="134" spans="4:27" x14ac:dyDescent="0.35">
      <c r="E134" s="32" t="s">
        <v>622</v>
      </c>
      <c r="J134" s="89"/>
      <c r="K134" s="89"/>
      <c r="L134" s="89"/>
      <c r="M134" s="89"/>
      <c r="N134" s="89"/>
      <c r="O134" s="89"/>
      <c r="P134" s="89"/>
      <c r="Q134" s="89"/>
      <c r="R134" s="89"/>
      <c r="S134" s="89"/>
      <c r="T134" s="89"/>
      <c r="U134" s="89"/>
      <c r="V134" s="89"/>
      <c r="W134" s="89"/>
      <c r="X134" s="89"/>
      <c r="Y134" s="89"/>
    </row>
    <row r="135" spans="4:27" x14ac:dyDescent="0.35">
      <c r="D135" s="32"/>
      <c r="E135" s="32"/>
      <c r="F135" s="190" t="s">
        <v>189</v>
      </c>
      <c r="G135" s="23" t="s">
        <v>269</v>
      </c>
      <c r="H135" s="266"/>
      <c r="I135" s="266"/>
      <c r="J135" s="274">
        <f t="shared" ref="J135:Y135" si="10">hundred * $H30 * J55 / $H43 * J$78 / hours_in_year</f>
        <v>0.51126174856083073</v>
      </c>
      <c r="K135" s="274">
        <f t="shared" si="10"/>
        <v>0.51126174856083073</v>
      </c>
      <c r="L135" s="274">
        <f t="shared" si="10"/>
        <v>0.5253851479267363</v>
      </c>
      <c r="M135" s="274">
        <f t="shared" si="10"/>
        <v>0.5253851479267363</v>
      </c>
      <c r="N135" s="274">
        <f t="shared" si="10"/>
        <v>0.44034976595216258</v>
      </c>
      <c r="O135" s="274">
        <f t="shared" si="10"/>
        <v>0.35154289203405925</v>
      </c>
      <c r="P135" s="274">
        <f t="shared" si="10"/>
        <v>0.35434420915161119</v>
      </c>
      <c r="Q135" s="274">
        <f t="shared" si="10"/>
        <v>0.52438590812226782</v>
      </c>
      <c r="R135" s="274">
        <f t="shared" si="10"/>
        <v>-0.31251506142239582</v>
      </c>
      <c r="S135" s="274">
        <f t="shared" si="10"/>
        <v>-0.30170926312025659</v>
      </c>
      <c r="T135" s="274">
        <f t="shared" si="10"/>
        <v>-0.31251506142239582</v>
      </c>
      <c r="U135" s="274">
        <f t="shared" si="10"/>
        <v>-0.31251506142239582</v>
      </c>
      <c r="V135" s="274">
        <f t="shared" si="10"/>
        <v>-0.30170926312025659</v>
      </c>
      <c r="W135" s="274">
        <f t="shared" si="10"/>
        <v>-0.30170926312025659</v>
      </c>
      <c r="X135" s="274">
        <f t="shared" si="10"/>
        <v>-0.29488454840311601</v>
      </c>
      <c r="Y135" s="274">
        <f t="shared" si="10"/>
        <v>-0.29488454840311601</v>
      </c>
      <c r="Z135" s="267"/>
      <c r="AA135" s="267"/>
    </row>
    <row r="136" spans="4:27" x14ac:dyDescent="0.35">
      <c r="D136" s="32"/>
      <c r="E136" s="32"/>
      <c r="F136" s="191" t="s">
        <v>191</v>
      </c>
      <c r="G136" t="s">
        <v>269</v>
      </c>
      <c r="H136" s="267"/>
      <c r="I136" s="267"/>
      <c r="J136" s="275">
        <f t="shared" ref="J136:Y136" si="11">hundred * $H31 * J56 / $H44 * J$78 / hours_in_year</f>
        <v>0</v>
      </c>
      <c r="K136" s="275">
        <f t="shared" si="11"/>
        <v>0</v>
      </c>
      <c r="L136" s="275">
        <f t="shared" si="11"/>
        <v>0</v>
      </c>
      <c r="M136" s="275">
        <f t="shared" si="11"/>
        <v>0</v>
      </c>
      <c r="N136" s="275">
        <f t="shared" si="11"/>
        <v>0</v>
      </c>
      <c r="O136" s="275">
        <f t="shared" si="11"/>
        <v>0</v>
      </c>
      <c r="P136" s="275">
        <f t="shared" si="11"/>
        <v>0</v>
      </c>
      <c r="Q136" s="275">
        <f t="shared" si="11"/>
        <v>0</v>
      </c>
      <c r="R136" s="275">
        <f t="shared" si="11"/>
        <v>0</v>
      </c>
      <c r="S136" s="275">
        <f t="shared" si="11"/>
        <v>0</v>
      </c>
      <c r="T136" s="275">
        <f t="shared" si="11"/>
        <v>0</v>
      </c>
      <c r="U136" s="275">
        <f t="shared" si="11"/>
        <v>0</v>
      </c>
      <c r="V136" s="275">
        <f t="shared" si="11"/>
        <v>0</v>
      </c>
      <c r="W136" s="275">
        <f t="shared" si="11"/>
        <v>0</v>
      </c>
      <c r="X136" s="275">
        <f t="shared" si="11"/>
        <v>0</v>
      </c>
      <c r="Y136" s="275">
        <f t="shared" si="11"/>
        <v>0</v>
      </c>
      <c r="Z136" s="267"/>
      <c r="AA136" s="267"/>
    </row>
    <row r="137" spans="4:27" x14ac:dyDescent="0.35">
      <c r="D137" s="32"/>
      <c r="E137" s="32"/>
      <c r="F137" s="191" t="s">
        <v>192</v>
      </c>
      <c r="G137" t="s">
        <v>269</v>
      </c>
      <c r="H137" s="267"/>
      <c r="I137" s="267"/>
      <c r="J137" s="275">
        <f t="shared" ref="J137:Y137" si="12">hundred * $H32 * J57 / $H45 * J$78 / hours_in_year</f>
        <v>0</v>
      </c>
      <c r="K137" s="275">
        <f t="shared" si="12"/>
        <v>0</v>
      </c>
      <c r="L137" s="275">
        <f t="shared" si="12"/>
        <v>0</v>
      </c>
      <c r="M137" s="275">
        <f t="shared" si="12"/>
        <v>0</v>
      </c>
      <c r="N137" s="275">
        <f t="shared" si="12"/>
        <v>0</v>
      </c>
      <c r="O137" s="275">
        <f t="shared" si="12"/>
        <v>0</v>
      </c>
      <c r="P137" s="275">
        <f t="shared" si="12"/>
        <v>0</v>
      </c>
      <c r="Q137" s="275">
        <f t="shared" si="12"/>
        <v>0</v>
      </c>
      <c r="R137" s="275">
        <f t="shared" si="12"/>
        <v>0</v>
      </c>
      <c r="S137" s="275">
        <f t="shared" si="12"/>
        <v>0</v>
      </c>
      <c r="T137" s="275">
        <f t="shared" si="12"/>
        <v>0</v>
      </c>
      <c r="U137" s="275">
        <f t="shared" si="12"/>
        <v>0</v>
      </c>
      <c r="V137" s="275">
        <f t="shared" si="12"/>
        <v>0</v>
      </c>
      <c r="W137" s="275">
        <f t="shared" si="12"/>
        <v>0</v>
      </c>
      <c r="X137" s="275">
        <f t="shared" si="12"/>
        <v>0</v>
      </c>
      <c r="Y137" s="275">
        <f t="shared" si="12"/>
        <v>0</v>
      </c>
      <c r="Z137" s="267"/>
      <c r="AA137" s="267"/>
    </row>
    <row r="138" spans="4:27" x14ac:dyDescent="0.35">
      <c r="D138" s="32"/>
      <c r="E138" s="32"/>
      <c r="F138" s="191" t="s">
        <v>193</v>
      </c>
      <c r="G138" t="s">
        <v>269</v>
      </c>
      <c r="H138" s="267"/>
      <c r="I138" s="267"/>
      <c r="J138" s="275">
        <f t="shared" ref="J138:Y138" si="13">hundred * $H33 * J58 / $H46 * J$78 / hours_in_year</f>
        <v>0</v>
      </c>
      <c r="K138" s="275">
        <f t="shared" si="13"/>
        <v>0</v>
      </c>
      <c r="L138" s="275">
        <f t="shared" si="13"/>
        <v>0</v>
      </c>
      <c r="M138" s="275">
        <f t="shared" si="13"/>
        <v>0</v>
      </c>
      <c r="N138" s="275">
        <f t="shared" si="13"/>
        <v>0</v>
      </c>
      <c r="O138" s="275">
        <f t="shared" si="13"/>
        <v>0</v>
      </c>
      <c r="P138" s="275">
        <f t="shared" si="13"/>
        <v>0</v>
      </c>
      <c r="Q138" s="275">
        <f t="shared" si="13"/>
        <v>0</v>
      </c>
      <c r="R138" s="275">
        <f t="shared" si="13"/>
        <v>0</v>
      </c>
      <c r="S138" s="275">
        <f t="shared" si="13"/>
        <v>0</v>
      </c>
      <c r="T138" s="275">
        <f t="shared" si="13"/>
        <v>0</v>
      </c>
      <c r="U138" s="275">
        <f t="shared" si="13"/>
        <v>0</v>
      </c>
      <c r="V138" s="275">
        <f t="shared" si="13"/>
        <v>0</v>
      </c>
      <c r="W138" s="275">
        <f t="shared" si="13"/>
        <v>0</v>
      </c>
      <c r="X138" s="275">
        <f t="shared" si="13"/>
        <v>0</v>
      </c>
      <c r="Y138" s="275">
        <f t="shared" si="13"/>
        <v>0</v>
      </c>
      <c r="Z138" s="267"/>
      <c r="AA138" s="267"/>
    </row>
    <row r="139" spans="4:27" x14ac:dyDescent="0.35">
      <c r="D139" s="32"/>
      <c r="E139" s="32"/>
      <c r="F139" s="191" t="s">
        <v>194</v>
      </c>
      <c r="G139" t="s">
        <v>269</v>
      </c>
      <c r="H139" s="267"/>
      <c r="I139" s="267"/>
      <c r="J139" s="275">
        <f t="shared" ref="J139:Y139" si="14">hundred * $H34 * J59 / $H47 * J$78 / hours_in_year</f>
        <v>0.16311033092071758</v>
      </c>
      <c r="K139" s="275">
        <f t="shared" si="14"/>
        <v>0.16311033092071758</v>
      </c>
      <c r="L139" s="275">
        <f t="shared" si="14"/>
        <v>0.16761618795145181</v>
      </c>
      <c r="M139" s="275">
        <f t="shared" si="14"/>
        <v>0.16761618795145181</v>
      </c>
      <c r="N139" s="275">
        <f t="shared" si="14"/>
        <v>0.14048693501421189</v>
      </c>
      <c r="O139" s="275">
        <f t="shared" si="14"/>
        <v>0.11215444459498627</v>
      </c>
      <c r="P139" s="275">
        <f t="shared" si="14"/>
        <v>0.11304816246717987</v>
      </c>
      <c r="Q139" s="275">
        <f t="shared" si="14"/>
        <v>0.16729739559971649</v>
      </c>
      <c r="R139" s="275">
        <f t="shared" si="14"/>
        <v>-9.9703205314704543E-2</v>
      </c>
      <c r="S139" s="275">
        <f t="shared" si="14"/>
        <v>-9.6255778743313494E-2</v>
      </c>
      <c r="T139" s="275">
        <f t="shared" si="14"/>
        <v>-9.9703205314704543E-2</v>
      </c>
      <c r="U139" s="275">
        <f t="shared" si="14"/>
        <v>-9.9703205314704543E-2</v>
      </c>
      <c r="V139" s="275">
        <f t="shared" si="14"/>
        <v>-9.6255778743313494E-2</v>
      </c>
      <c r="W139" s="275">
        <f t="shared" si="14"/>
        <v>-9.6255778743313494E-2</v>
      </c>
      <c r="X139" s="275">
        <f t="shared" si="14"/>
        <v>-9.40784566982244E-2</v>
      </c>
      <c r="Y139" s="275">
        <f t="shared" si="14"/>
        <v>-9.40784566982244E-2</v>
      </c>
      <c r="Z139" s="267"/>
      <c r="AA139" s="267"/>
    </row>
    <row r="140" spans="4:27" x14ac:dyDescent="0.35">
      <c r="D140" s="32"/>
      <c r="E140" s="32"/>
      <c r="F140" s="191" t="s">
        <v>195</v>
      </c>
      <c r="G140" t="s">
        <v>269</v>
      </c>
      <c r="H140" s="267"/>
      <c r="I140" s="267"/>
      <c r="J140" s="275">
        <f t="shared" ref="J140:Y140" si="15">hundred * $H35 * J60 / $H48 * J$78 / hours_in_year</f>
        <v>0.14758162477453315</v>
      </c>
      <c r="K140" s="275">
        <f t="shared" si="15"/>
        <v>0.14758162477453315</v>
      </c>
      <c r="L140" s="275">
        <f t="shared" si="15"/>
        <v>0.15165850756818489</v>
      </c>
      <c r="M140" s="275">
        <f t="shared" si="15"/>
        <v>0.15165850756818489</v>
      </c>
      <c r="N140" s="275">
        <f t="shared" si="15"/>
        <v>0.12711205974482018</v>
      </c>
      <c r="O140" s="275">
        <f t="shared" si="15"/>
        <v>0.10147692709334741</v>
      </c>
      <c r="P140" s="275">
        <f t="shared" si="15"/>
        <v>0.10228555972209538</v>
      </c>
      <c r="Q140" s="275">
        <f t="shared" si="15"/>
        <v>0.15137006542617448</v>
      </c>
      <c r="R140" s="275">
        <f t="shared" si="15"/>
        <v>-9.0211091796050122E-2</v>
      </c>
      <c r="S140" s="275">
        <f t="shared" si="15"/>
        <v>-8.7091872971436918E-2</v>
      </c>
      <c r="T140" s="275">
        <f t="shared" si="15"/>
        <v>-9.0211091796050122E-2</v>
      </c>
      <c r="U140" s="275">
        <f t="shared" si="15"/>
        <v>-9.0211091796050122E-2</v>
      </c>
      <c r="V140" s="275">
        <f t="shared" si="15"/>
        <v>-8.7091872971436918E-2</v>
      </c>
      <c r="W140" s="275">
        <f t="shared" si="15"/>
        <v>-8.7091872971436918E-2</v>
      </c>
      <c r="X140" s="275">
        <f t="shared" si="15"/>
        <v>-8.5121840029575943E-2</v>
      </c>
      <c r="Y140" s="275">
        <f t="shared" si="15"/>
        <v>-8.5121840029575943E-2</v>
      </c>
      <c r="Z140" s="267"/>
      <c r="AA140" s="267"/>
    </row>
    <row r="141" spans="4:27" x14ac:dyDescent="0.35">
      <c r="D141" s="32"/>
      <c r="E141" s="32"/>
      <c r="F141" s="191" t="s">
        <v>196</v>
      </c>
      <c r="G141" t="s">
        <v>269</v>
      </c>
      <c r="H141" s="267"/>
      <c r="I141" s="267"/>
      <c r="J141" s="275">
        <f t="shared" ref="J141:Y141" si="16">hundred * $H36 * J61 / $H49 * J$78 / hours_in_year</f>
        <v>0</v>
      </c>
      <c r="K141" s="275">
        <f t="shared" si="16"/>
        <v>0</v>
      </c>
      <c r="L141" s="275">
        <f t="shared" si="16"/>
        <v>0</v>
      </c>
      <c r="M141" s="275">
        <f t="shared" si="16"/>
        <v>0</v>
      </c>
      <c r="N141" s="275">
        <f t="shared" si="16"/>
        <v>0</v>
      </c>
      <c r="O141" s="275">
        <f t="shared" si="16"/>
        <v>0</v>
      </c>
      <c r="P141" s="275">
        <f t="shared" si="16"/>
        <v>0</v>
      </c>
      <c r="Q141" s="275">
        <f t="shared" si="16"/>
        <v>0</v>
      </c>
      <c r="R141" s="275">
        <f t="shared" si="16"/>
        <v>0</v>
      </c>
      <c r="S141" s="275">
        <f t="shared" si="16"/>
        <v>0</v>
      </c>
      <c r="T141" s="275">
        <f t="shared" si="16"/>
        <v>0</v>
      </c>
      <c r="U141" s="275">
        <f t="shared" si="16"/>
        <v>0</v>
      </c>
      <c r="V141" s="275">
        <f t="shared" si="16"/>
        <v>0</v>
      </c>
      <c r="W141" s="275">
        <f t="shared" si="16"/>
        <v>0</v>
      </c>
      <c r="X141" s="275">
        <f t="shared" si="16"/>
        <v>0</v>
      </c>
      <c r="Y141" s="275">
        <f t="shared" si="16"/>
        <v>0</v>
      </c>
      <c r="Z141" s="267"/>
      <c r="AA141" s="267"/>
    </row>
    <row r="142" spans="4:27" x14ac:dyDescent="0.35">
      <c r="D142" s="32"/>
      <c r="E142" s="32"/>
      <c r="F142" s="191" t="s">
        <v>197</v>
      </c>
      <c r="G142" t="s">
        <v>269</v>
      </c>
      <c r="H142" s="267"/>
      <c r="I142" s="267"/>
      <c r="J142" s="275">
        <f t="shared" ref="J142:Y142" si="17">hundred * $H37 * J62 / $H50 * J$78 / hours_in_year</f>
        <v>0.60984480633655702</v>
      </c>
      <c r="K142" s="275">
        <f t="shared" si="17"/>
        <v>0.60984480633655702</v>
      </c>
      <c r="L142" s="275">
        <f t="shared" si="17"/>
        <v>0.62669152286749208</v>
      </c>
      <c r="M142" s="275">
        <f t="shared" si="17"/>
        <v>0.62669152286749208</v>
      </c>
      <c r="N142" s="275">
        <f t="shared" si="17"/>
        <v>0.52525935784044453</v>
      </c>
      <c r="O142" s="275">
        <f t="shared" si="17"/>
        <v>0.41932847023073527</v>
      </c>
      <c r="P142" s="275">
        <f t="shared" si="17"/>
        <v>0.42266994590312756</v>
      </c>
      <c r="Q142" s="275">
        <f t="shared" si="17"/>
        <v>0.62549960658047221</v>
      </c>
      <c r="R142" s="275">
        <f t="shared" si="17"/>
        <v>-0.37277517366962182</v>
      </c>
      <c r="S142" s="275">
        <f t="shared" si="17"/>
        <v>-0.35988576821061752</v>
      </c>
      <c r="T142" s="275">
        <f t="shared" si="17"/>
        <v>-0.37277517366962182</v>
      </c>
      <c r="U142" s="275">
        <f t="shared" si="17"/>
        <v>-0.37277517366962182</v>
      </c>
      <c r="V142" s="275">
        <f t="shared" si="17"/>
        <v>-0.35988576821061752</v>
      </c>
      <c r="W142" s="275">
        <f t="shared" si="17"/>
        <v>-0.35988576821061752</v>
      </c>
      <c r="X142" s="275">
        <f t="shared" si="17"/>
        <v>0</v>
      </c>
      <c r="Y142" s="275">
        <f t="shared" si="17"/>
        <v>0</v>
      </c>
      <c r="Z142" s="267"/>
      <c r="AA142" s="267"/>
    </row>
    <row r="143" spans="4:27" x14ac:dyDescent="0.35">
      <c r="D143" s="32"/>
      <c r="E143" s="32"/>
      <c r="F143" s="191" t="s">
        <v>198</v>
      </c>
      <c r="G143" t="s">
        <v>269</v>
      </c>
      <c r="H143" s="267"/>
      <c r="I143" s="267"/>
      <c r="J143" s="275">
        <f t="shared" ref="J143:Y143" si="18">hundred * $H38 * J63 / $H51 * J$78 / hours_in_year</f>
        <v>0.14767487501619023</v>
      </c>
      <c r="K143" s="275">
        <f t="shared" si="18"/>
        <v>0.14767487501619023</v>
      </c>
      <c r="L143" s="275">
        <f t="shared" si="18"/>
        <v>0.15175433381011499</v>
      </c>
      <c r="M143" s="275">
        <f t="shared" si="18"/>
        <v>0.15175433381011499</v>
      </c>
      <c r="N143" s="275">
        <f t="shared" si="18"/>
        <v>0.12719237618195683</v>
      </c>
      <c r="O143" s="275">
        <f t="shared" si="18"/>
        <v>0.10154104583433925</v>
      </c>
      <c r="P143" s="275">
        <f t="shared" si="18"/>
        <v>0</v>
      </c>
      <c r="Q143" s="275">
        <f t="shared" si="18"/>
        <v>0.15146570941438914</v>
      </c>
      <c r="R143" s="275">
        <f t="shared" si="18"/>
        <v>-9.0268092158547697E-2</v>
      </c>
      <c r="S143" s="275">
        <f t="shared" si="18"/>
        <v>0</v>
      </c>
      <c r="T143" s="275">
        <f t="shared" si="18"/>
        <v>-9.0268092158547697E-2</v>
      </c>
      <c r="U143" s="275">
        <f t="shared" si="18"/>
        <v>-9.0268092158547697E-2</v>
      </c>
      <c r="V143" s="275">
        <f t="shared" si="18"/>
        <v>0</v>
      </c>
      <c r="W143" s="275">
        <f t="shared" si="18"/>
        <v>0</v>
      </c>
      <c r="X143" s="275">
        <f t="shared" si="18"/>
        <v>0</v>
      </c>
      <c r="Y143" s="275">
        <f t="shared" si="18"/>
        <v>0</v>
      </c>
      <c r="Z143" s="267"/>
      <c r="AA143" s="267"/>
    </row>
    <row r="144" spans="4:27" x14ac:dyDescent="0.35">
      <c r="D144" s="32"/>
      <c r="E144" s="32"/>
      <c r="F144" s="192" t="s">
        <v>199</v>
      </c>
      <c r="G144" s="37" t="s">
        <v>269</v>
      </c>
      <c r="H144" s="269"/>
      <c r="I144" s="269"/>
      <c r="J144" s="276">
        <f t="shared" ref="J144:Y144" si="19">hundred * $H39 * J64 / $H52 * J$78 / hours_in_year</f>
        <v>0.35055194492103919</v>
      </c>
      <c r="K144" s="276">
        <f t="shared" si="19"/>
        <v>0.35055194492103919</v>
      </c>
      <c r="L144" s="276">
        <f t="shared" si="19"/>
        <v>0.36023580085305729</v>
      </c>
      <c r="M144" s="276">
        <f t="shared" si="19"/>
        <v>0.36023580085305729</v>
      </c>
      <c r="N144" s="276">
        <f t="shared" si="19"/>
        <v>0.30193040518791781</v>
      </c>
      <c r="O144" s="276">
        <f t="shared" si="19"/>
        <v>0</v>
      </c>
      <c r="P144" s="276">
        <f t="shared" si="19"/>
        <v>0</v>
      </c>
      <c r="Q144" s="276">
        <f t="shared" si="19"/>
        <v>0.35955066166968397</v>
      </c>
      <c r="R144" s="276">
        <f t="shared" si="19"/>
        <v>0</v>
      </c>
      <c r="S144" s="276">
        <f t="shared" si="19"/>
        <v>0</v>
      </c>
      <c r="T144" s="276">
        <f t="shared" si="19"/>
        <v>0</v>
      </c>
      <c r="U144" s="276">
        <f t="shared" si="19"/>
        <v>0</v>
      </c>
      <c r="V144" s="276">
        <f t="shared" si="19"/>
        <v>0</v>
      </c>
      <c r="W144" s="276">
        <f t="shared" si="19"/>
        <v>0</v>
      </c>
      <c r="X144" s="276">
        <f t="shared" si="19"/>
        <v>0</v>
      </c>
      <c r="Y144" s="276">
        <f t="shared" si="19"/>
        <v>0</v>
      </c>
      <c r="Z144" s="267"/>
      <c r="AA144" s="267"/>
    </row>
    <row r="145" spans="3:27" x14ac:dyDescent="0.3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3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3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35">
      <c r="D148" s="29" t="s">
        <v>623</v>
      </c>
      <c r="E148" s="32"/>
      <c r="F148" s="32"/>
      <c r="J148" s="163"/>
      <c r="K148" s="163"/>
      <c r="L148" s="163"/>
      <c r="M148" s="163"/>
      <c r="N148" s="163"/>
      <c r="O148" s="163"/>
      <c r="P148" s="163"/>
      <c r="Q148" s="163"/>
      <c r="R148" s="163"/>
      <c r="S148" s="163"/>
      <c r="T148" s="163"/>
      <c r="U148" s="163"/>
      <c r="V148" s="163"/>
      <c r="W148" s="163"/>
      <c r="X148" s="163"/>
      <c r="Y148" s="163"/>
    </row>
    <row r="149" spans="3:27" x14ac:dyDescent="0.35">
      <c r="D149" s="29" t="s">
        <v>624</v>
      </c>
      <c r="E149" s="32"/>
      <c r="F149" s="32"/>
      <c r="J149" s="163"/>
      <c r="K149" s="163"/>
      <c r="L149" s="163"/>
      <c r="M149" s="163"/>
      <c r="N149" s="163"/>
      <c r="O149" s="163"/>
      <c r="P149" s="163"/>
      <c r="Q149" s="163"/>
      <c r="R149" s="163"/>
      <c r="S149" s="163"/>
      <c r="T149" s="163"/>
      <c r="U149" s="163"/>
      <c r="V149" s="163"/>
      <c r="W149" s="163"/>
      <c r="X149" s="163"/>
      <c r="Y149" s="163"/>
    </row>
    <row r="150" spans="3:27" x14ac:dyDescent="0.35">
      <c r="D150" s="32"/>
      <c r="E150" s="32"/>
      <c r="F150" s="32"/>
      <c r="I150" s="3" t="s">
        <v>154</v>
      </c>
      <c r="J150" s="163"/>
      <c r="K150" s="163"/>
      <c r="L150" s="163"/>
      <c r="M150" s="163"/>
      <c r="N150" s="163"/>
      <c r="O150" s="163"/>
      <c r="P150" s="163"/>
      <c r="Q150" s="163"/>
      <c r="R150" s="163"/>
      <c r="S150" s="163"/>
      <c r="T150" s="163"/>
      <c r="U150" s="163"/>
      <c r="V150" s="163"/>
      <c r="W150" s="163"/>
      <c r="X150" s="163"/>
      <c r="Y150" s="163"/>
      <c r="AA150" t="s">
        <v>625</v>
      </c>
    </row>
    <row r="151" spans="3:27" x14ac:dyDescent="0.35">
      <c r="E151" s="32" t="s">
        <v>621</v>
      </c>
      <c r="J151" s="163"/>
      <c r="K151" s="163"/>
      <c r="L151" s="163"/>
      <c r="M151" s="163"/>
      <c r="N151" s="163"/>
      <c r="O151" s="163"/>
      <c r="P151" s="163"/>
      <c r="Q151" s="163"/>
      <c r="R151" s="163"/>
      <c r="S151" s="163"/>
      <c r="T151" s="163"/>
      <c r="U151" s="163"/>
      <c r="V151" s="163"/>
      <c r="W151" s="163"/>
      <c r="X151" s="163"/>
      <c r="Y151" s="163"/>
    </row>
    <row r="152" spans="3:27" x14ac:dyDescent="0.35">
      <c r="E152" s="32"/>
      <c r="F152" s="190" t="s">
        <v>189</v>
      </c>
      <c r="G152" s="23" t="s">
        <v>269</v>
      </c>
      <c r="H152" s="266"/>
      <c r="I152" s="266"/>
      <c r="J152" s="274">
        <f t="shared" ref="J152:Y152" si="20">hundred * $H18 * J55 / $H43 * J81 * (1 - J67) / hours_in_year</f>
        <v>0</v>
      </c>
      <c r="K152" s="274">
        <f t="shared" si="20"/>
        <v>0</v>
      </c>
      <c r="L152" s="274">
        <f t="shared" si="20"/>
        <v>0</v>
      </c>
      <c r="M152" s="274">
        <f t="shared" si="20"/>
        <v>0</v>
      </c>
      <c r="N152" s="274">
        <f t="shared" si="20"/>
        <v>0</v>
      </c>
      <c r="O152" s="274">
        <f t="shared" si="20"/>
        <v>0</v>
      </c>
      <c r="P152" s="274">
        <f t="shared" si="20"/>
        <v>0</v>
      </c>
      <c r="Q152" s="274">
        <f t="shared" si="20"/>
        <v>0</v>
      </c>
      <c r="R152" s="274">
        <f t="shared" si="20"/>
        <v>0</v>
      </c>
      <c r="S152" s="274">
        <f t="shared" si="20"/>
        <v>0</v>
      </c>
      <c r="T152" s="274">
        <f t="shared" si="20"/>
        <v>0</v>
      </c>
      <c r="U152" s="274">
        <f t="shared" si="20"/>
        <v>0</v>
      </c>
      <c r="V152" s="274">
        <f t="shared" si="20"/>
        <v>0</v>
      </c>
      <c r="W152" s="274">
        <f t="shared" si="20"/>
        <v>0</v>
      </c>
      <c r="X152" s="274">
        <f t="shared" si="20"/>
        <v>0</v>
      </c>
      <c r="Y152" s="274">
        <f t="shared" si="20"/>
        <v>0</v>
      </c>
      <c r="Z152" s="267"/>
      <c r="AA152" s="267"/>
    </row>
    <row r="153" spans="3:27" x14ac:dyDescent="0.35">
      <c r="E153" s="32"/>
      <c r="F153" s="191" t="s">
        <v>191</v>
      </c>
      <c r="G153" t="s">
        <v>269</v>
      </c>
      <c r="H153" s="267"/>
      <c r="I153" s="267"/>
      <c r="J153" s="275">
        <f t="shared" ref="J153:Y153" si="21">hundred * $H19 * J56 / $H44 * J82 * (1 - J68) / hours_in_year</f>
        <v>0</v>
      </c>
      <c r="K153" s="275">
        <f t="shared" si="21"/>
        <v>0</v>
      </c>
      <c r="L153" s="275">
        <f t="shared" si="21"/>
        <v>0</v>
      </c>
      <c r="M153" s="275">
        <f t="shared" si="21"/>
        <v>0</v>
      </c>
      <c r="N153" s="275">
        <f t="shared" si="21"/>
        <v>0</v>
      </c>
      <c r="O153" s="275">
        <f t="shared" si="21"/>
        <v>0</v>
      </c>
      <c r="P153" s="275">
        <f t="shared" si="21"/>
        <v>0</v>
      </c>
      <c r="Q153" s="275">
        <f t="shared" si="21"/>
        <v>0</v>
      </c>
      <c r="R153" s="275">
        <f t="shared" si="21"/>
        <v>0</v>
      </c>
      <c r="S153" s="275">
        <f t="shared" si="21"/>
        <v>0</v>
      </c>
      <c r="T153" s="275">
        <f t="shared" si="21"/>
        <v>0</v>
      </c>
      <c r="U153" s="275">
        <f t="shared" si="21"/>
        <v>0</v>
      </c>
      <c r="V153" s="275">
        <f t="shared" si="21"/>
        <v>0</v>
      </c>
      <c r="W153" s="275">
        <f t="shared" si="21"/>
        <v>0</v>
      </c>
      <c r="X153" s="275">
        <f t="shared" si="21"/>
        <v>0</v>
      </c>
      <c r="Y153" s="275">
        <f t="shared" si="21"/>
        <v>0</v>
      </c>
      <c r="Z153" s="267"/>
      <c r="AA153" s="267"/>
    </row>
    <row r="154" spans="3:27" x14ac:dyDescent="0.35">
      <c r="E154" s="32"/>
      <c r="F154" s="191" t="s">
        <v>192</v>
      </c>
      <c r="G154" t="s">
        <v>269</v>
      </c>
      <c r="H154" s="267"/>
      <c r="I154" s="267"/>
      <c r="J154" s="275">
        <f t="shared" ref="J154:Y154" si="22">hundred * $H20 * J57 / $H45 * J83 * (1 - J69) / hours_in_year</f>
        <v>0</v>
      </c>
      <c r="K154" s="275">
        <f t="shared" si="22"/>
        <v>0</v>
      </c>
      <c r="L154" s="275">
        <f t="shared" si="22"/>
        <v>0</v>
      </c>
      <c r="M154" s="275">
        <f t="shared" si="22"/>
        <v>0</v>
      </c>
      <c r="N154" s="275">
        <f t="shared" si="22"/>
        <v>0</v>
      </c>
      <c r="O154" s="275">
        <f t="shared" si="22"/>
        <v>0</v>
      </c>
      <c r="P154" s="275">
        <f t="shared" si="22"/>
        <v>0</v>
      </c>
      <c r="Q154" s="275">
        <f t="shared" si="22"/>
        <v>0</v>
      </c>
      <c r="R154" s="275">
        <f t="shared" si="22"/>
        <v>0</v>
      </c>
      <c r="S154" s="275">
        <f t="shared" si="22"/>
        <v>0</v>
      </c>
      <c r="T154" s="275">
        <f t="shared" si="22"/>
        <v>0</v>
      </c>
      <c r="U154" s="275">
        <f t="shared" si="22"/>
        <v>0</v>
      </c>
      <c r="V154" s="275">
        <f t="shared" si="22"/>
        <v>0</v>
      </c>
      <c r="W154" s="275">
        <f t="shared" si="22"/>
        <v>0</v>
      </c>
      <c r="X154" s="275">
        <f t="shared" si="22"/>
        <v>0</v>
      </c>
      <c r="Y154" s="275">
        <f t="shared" si="22"/>
        <v>0</v>
      </c>
      <c r="Z154" s="267"/>
      <c r="AA154" s="267"/>
    </row>
    <row r="155" spans="3:27" x14ac:dyDescent="0.35">
      <c r="E155" s="32"/>
      <c r="F155" s="191" t="s">
        <v>193</v>
      </c>
      <c r="G155" t="s">
        <v>269</v>
      </c>
      <c r="H155" s="267"/>
      <c r="I155" s="267"/>
      <c r="J155" s="275">
        <f t="shared" ref="J155:Y155" si="23">hundred * $H21 * J58 / $H46 * J84 * (1 - J70) / hours_in_year</f>
        <v>0</v>
      </c>
      <c r="K155" s="275">
        <f t="shared" si="23"/>
        <v>0</v>
      </c>
      <c r="L155" s="275">
        <f t="shared" si="23"/>
        <v>0</v>
      </c>
      <c r="M155" s="275">
        <f t="shared" si="23"/>
        <v>0</v>
      </c>
      <c r="N155" s="275">
        <f t="shared" si="23"/>
        <v>0</v>
      </c>
      <c r="O155" s="275">
        <f t="shared" si="23"/>
        <v>0</v>
      </c>
      <c r="P155" s="275">
        <f t="shared" si="23"/>
        <v>0</v>
      </c>
      <c r="Q155" s="275">
        <f t="shared" si="23"/>
        <v>0</v>
      </c>
      <c r="R155" s="275">
        <f t="shared" si="23"/>
        <v>0</v>
      </c>
      <c r="S155" s="275">
        <f t="shared" si="23"/>
        <v>0</v>
      </c>
      <c r="T155" s="275">
        <f t="shared" si="23"/>
        <v>0</v>
      </c>
      <c r="U155" s="275">
        <f t="shared" si="23"/>
        <v>0</v>
      </c>
      <c r="V155" s="275">
        <f t="shared" si="23"/>
        <v>0</v>
      </c>
      <c r="W155" s="275">
        <f t="shared" si="23"/>
        <v>0</v>
      </c>
      <c r="X155" s="275">
        <f t="shared" si="23"/>
        <v>0</v>
      </c>
      <c r="Y155" s="275">
        <f t="shared" si="23"/>
        <v>0</v>
      </c>
      <c r="Z155" s="267"/>
      <c r="AA155" s="267"/>
    </row>
    <row r="156" spans="3:27" x14ac:dyDescent="0.35">
      <c r="E156" s="32"/>
      <c r="F156" s="191" t="s">
        <v>194</v>
      </c>
      <c r="G156" t="s">
        <v>269</v>
      </c>
      <c r="H156" s="267"/>
      <c r="I156" s="267"/>
      <c r="J156" s="275">
        <f t="shared" ref="J156:Y156" si="24">hundred * $H22 * J59 / $H47 * J85 * (1 - J71) / hours_in_year</f>
        <v>0.70661953549366363</v>
      </c>
      <c r="K156" s="275">
        <f t="shared" si="24"/>
        <v>0.70661953549366363</v>
      </c>
      <c r="L156" s="275">
        <f t="shared" si="24"/>
        <v>0.81087058992335737</v>
      </c>
      <c r="M156" s="275">
        <f t="shared" si="24"/>
        <v>0.81087058992335737</v>
      </c>
      <c r="N156" s="275">
        <f t="shared" si="24"/>
        <v>0.68868732402931865</v>
      </c>
      <c r="O156" s="275">
        <f t="shared" si="24"/>
        <v>0.56722596501472244</v>
      </c>
      <c r="P156" s="275">
        <f t="shared" si="24"/>
        <v>0.57930737887040351</v>
      </c>
      <c r="Q156" s="275">
        <f t="shared" si="24"/>
        <v>0.98148265327613793</v>
      </c>
      <c r="R156" s="275">
        <f t="shared" si="24"/>
        <v>-0.54626041296717243</v>
      </c>
      <c r="S156" s="275">
        <f t="shared" si="24"/>
        <v>-0.52737242780543203</v>
      </c>
      <c r="T156" s="275">
        <f t="shared" si="24"/>
        <v>-0.54626041296717243</v>
      </c>
      <c r="U156" s="275">
        <f t="shared" si="24"/>
        <v>-0.54626041296717243</v>
      </c>
      <c r="V156" s="275">
        <f t="shared" si="24"/>
        <v>-0.52737242780543203</v>
      </c>
      <c r="W156" s="275">
        <f t="shared" si="24"/>
        <v>-0.52737242780543203</v>
      </c>
      <c r="X156" s="275">
        <f t="shared" si="24"/>
        <v>-0.51271229184236466</v>
      </c>
      <c r="Y156" s="275">
        <f t="shared" si="24"/>
        <v>-0.51271229184236466</v>
      </c>
      <c r="Z156" s="267"/>
      <c r="AA156" s="267"/>
    </row>
    <row r="157" spans="3:27" x14ac:dyDescent="0.35">
      <c r="E157" s="32"/>
      <c r="F157" s="191" t="s">
        <v>195</v>
      </c>
      <c r="G157" t="s">
        <v>269</v>
      </c>
      <c r="H157" s="267"/>
      <c r="I157" s="267"/>
      <c r="J157" s="275">
        <f t="shared" ref="J157:Y157" si="25">hundred * $H23 * J60 / $H48 * J86 * (1 - J72) / hours_in_year</f>
        <v>0.64080881864913986</v>
      </c>
      <c r="K157" s="275">
        <f t="shared" si="25"/>
        <v>0.64080881864913986</v>
      </c>
      <c r="L157" s="275">
        <f t="shared" si="25"/>
        <v>0.73535049443984291</v>
      </c>
      <c r="M157" s="275">
        <f t="shared" si="25"/>
        <v>0.73535049443984291</v>
      </c>
      <c r="N157" s="275">
        <f t="shared" si="25"/>
        <v>0.62454671624886371</v>
      </c>
      <c r="O157" s="275">
        <f t="shared" si="25"/>
        <v>0.51439761044005572</v>
      </c>
      <c r="P157" s="275">
        <f t="shared" si="25"/>
        <v>0.52634614917297207</v>
      </c>
      <c r="Q157" s="275">
        <f t="shared" si="25"/>
        <v>0.89007267415994773</v>
      </c>
      <c r="R157" s="275">
        <f t="shared" si="25"/>
        <v>-0.4953846763714671</v>
      </c>
      <c r="S157" s="275">
        <f t="shared" si="25"/>
        <v>-0.47825581585998783</v>
      </c>
      <c r="T157" s="275">
        <f t="shared" si="25"/>
        <v>-0.4953846763714671</v>
      </c>
      <c r="U157" s="275">
        <f t="shared" si="25"/>
        <v>-0.4953846763714671</v>
      </c>
      <c r="V157" s="275">
        <f t="shared" si="25"/>
        <v>-0.47825581585998783</v>
      </c>
      <c r="W157" s="275">
        <f t="shared" si="25"/>
        <v>-0.47825581585998783</v>
      </c>
      <c r="X157" s="275">
        <f t="shared" si="25"/>
        <v>-0.46583929410857516</v>
      </c>
      <c r="Y157" s="275">
        <f t="shared" si="25"/>
        <v>-0.46583929410857516</v>
      </c>
      <c r="Z157" s="267"/>
      <c r="AA157" s="267"/>
    </row>
    <row r="158" spans="3:27" x14ac:dyDescent="0.35">
      <c r="E158" s="32"/>
      <c r="F158" s="191" t="s">
        <v>196</v>
      </c>
      <c r="G158" t="s">
        <v>269</v>
      </c>
      <c r="H158" s="267"/>
      <c r="I158" s="267"/>
      <c r="J158" s="275">
        <f t="shared" ref="J158:Y158" si="26">hundred * $H24 * J61 / $H49 * J87 * (1 - J73) / hours_in_year</f>
        <v>0</v>
      </c>
      <c r="K158" s="275">
        <f t="shared" si="26"/>
        <v>0</v>
      </c>
      <c r="L158" s="275">
        <f t="shared" si="26"/>
        <v>0</v>
      </c>
      <c r="M158" s="275">
        <f t="shared" si="26"/>
        <v>0</v>
      </c>
      <c r="N158" s="275">
        <f t="shared" si="26"/>
        <v>0</v>
      </c>
      <c r="O158" s="275">
        <f t="shared" si="26"/>
        <v>0</v>
      </c>
      <c r="P158" s="275">
        <f t="shared" si="26"/>
        <v>0</v>
      </c>
      <c r="Q158" s="275">
        <f t="shared" si="26"/>
        <v>0</v>
      </c>
      <c r="R158" s="275">
        <f t="shared" si="26"/>
        <v>0</v>
      </c>
      <c r="S158" s="275">
        <f t="shared" si="26"/>
        <v>0</v>
      </c>
      <c r="T158" s="275">
        <f t="shared" si="26"/>
        <v>0</v>
      </c>
      <c r="U158" s="275">
        <f t="shared" si="26"/>
        <v>0</v>
      </c>
      <c r="V158" s="275">
        <f t="shared" si="26"/>
        <v>0</v>
      </c>
      <c r="W158" s="275">
        <f t="shared" si="26"/>
        <v>0</v>
      </c>
      <c r="X158" s="275">
        <f t="shared" si="26"/>
        <v>0</v>
      </c>
      <c r="Y158" s="275">
        <f t="shared" si="26"/>
        <v>0</v>
      </c>
      <c r="Z158" s="267"/>
      <c r="AA158" s="267"/>
    </row>
    <row r="159" spans="3:27" x14ac:dyDescent="0.35">
      <c r="E159" s="32"/>
      <c r="F159" s="191" t="s">
        <v>197</v>
      </c>
      <c r="G159" t="s">
        <v>269</v>
      </c>
      <c r="H159" s="267"/>
      <c r="I159" s="267"/>
      <c r="J159" s="275">
        <f t="shared" ref="J159:Y159" si="27">hundred * $H25 * J62 / $H50 * J88 * (1 - J74) / hours_in_year</f>
        <v>1.3546821454642599</v>
      </c>
      <c r="K159" s="275">
        <f t="shared" si="27"/>
        <v>1.3546821454642599</v>
      </c>
      <c r="L159" s="275">
        <f t="shared" si="27"/>
        <v>1.5545450631842797</v>
      </c>
      <c r="M159" s="275">
        <f t="shared" si="27"/>
        <v>1.5545450631842797</v>
      </c>
      <c r="N159" s="275">
        <f t="shared" si="27"/>
        <v>1.3203037487752036</v>
      </c>
      <c r="O159" s="275">
        <f t="shared" si="27"/>
        <v>1.0874464243510431</v>
      </c>
      <c r="P159" s="275">
        <f t="shared" si="27"/>
        <v>1.1869501309042025</v>
      </c>
      <c r="Q159" s="275">
        <f t="shared" si="27"/>
        <v>1.8546643190512213</v>
      </c>
      <c r="R159" s="275">
        <f t="shared" si="27"/>
        <v>-1.0472527167021659</v>
      </c>
      <c r="S159" s="275">
        <f t="shared" si="27"/>
        <v>-1.0110419767252028</v>
      </c>
      <c r="T159" s="275">
        <f t="shared" si="27"/>
        <v>-1.0472527167021659</v>
      </c>
      <c r="U159" s="275">
        <f t="shared" si="27"/>
        <v>-1.0472527167021659</v>
      </c>
      <c r="V159" s="275">
        <f t="shared" si="27"/>
        <v>-1.0110419767252028</v>
      </c>
      <c r="W159" s="275">
        <f t="shared" si="27"/>
        <v>-1.0110419767252028</v>
      </c>
      <c r="X159" s="275">
        <f t="shared" si="27"/>
        <v>0</v>
      </c>
      <c r="Y159" s="275">
        <f t="shared" si="27"/>
        <v>0</v>
      </c>
      <c r="Z159" s="267"/>
      <c r="AA159" s="267"/>
    </row>
    <row r="160" spans="3:27" x14ac:dyDescent="0.35">
      <c r="E160" s="32"/>
      <c r="F160" s="191" t="s">
        <v>198</v>
      </c>
      <c r="G160" t="s">
        <v>269</v>
      </c>
      <c r="H160" s="267"/>
      <c r="I160" s="267"/>
      <c r="J160" s="275">
        <f t="shared" ref="J160:Y160" si="28">hundred * $H26 * J63 / $H51 * J89 * (1 - J75) / hours_in_year</f>
        <v>0.12407037170954449</v>
      </c>
      <c r="K160" s="275">
        <f t="shared" si="28"/>
        <v>0.12407037170954449</v>
      </c>
      <c r="L160" s="275">
        <f t="shared" si="28"/>
        <v>0.1423750836860789</v>
      </c>
      <c r="M160" s="275">
        <f t="shared" si="28"/>
        <v>0.1423750836860789</v>
      </c>
      <c r="N160" s="275">
        <f t="shared" si="28"/>
        <v>0.12092178038111326</v>
      </c>
      <c r="O160" s="275">
        <f t="shared" si="28"/>
        <v>9.9595231645435822E-2</v>
      </c>
      <c r="P160" s="275">
        <f t="shared" si="28"/>
        <v>0</v>
      </c>
      <c r="Q160" s="275">
        <f t="shared" si="28"/>
        <v>0.16986190615382632</v>
      </c>
      <c r="R160" s="275">
        <f t="shared" si="28"/>
        <v>-9.5914037303960295E-2</v>
      </c>
      <c r="S160" s="275">
        <f t="shared" si="28"/>
        <v>0</v>
      </c>
      <c r="T160" s="275">
        <f t="shared" si="28"/>
        <v>-9.5914037303960295E-2</v>
      </c>
      <c r="U160" s="275">
        <f t="shared" si="28"/>
        <v>-9.5914037303960295E-2</v>
      </c>
      <c r="V160" s="275">
        <f t="shared" si="28"/>
        <v>0</v>
      </c>
      <c r="W160" s="275">
        <f t="shared" si="28"/>
        <v>0</v>
      </c>
      <c r="X160" s="275">
        <f t="shared" si="28"/>
        <v>0</v>
      </c>
      <c r="Y160" s="275">
        <f t="shared" si="28"/>
        <v>0</v>
      </c>
      <c r="Z160" s="267"/>
      <c r="AA160" s="267"/>
    </row>
    <row r="161" spans="3:27" x14ac:dyDescent="0.35">
      <c r="E161" s="32"/>
      <c r="F161" s="192" t="s">
        <v>199</v>
      </c>
      <c r="G161" s="37" t="s">
        <v>269</v>
      </c>
      <c r="H161" s="269"/>
      <c r="I161" s="269"/>
      <c r="J161" s="276">
        <f t="shared" ref="J161:Y161" si="29">hundred * $H27 * J64 / $H52 * J90 * (1 - J76) / hours_in_year</f>
        <v>4.5057232846638116E-2</v>
      </c>
      <c r="K161" s="276">
        <f t="shared" si="29"/>
        <v>4.5057232846638116E-2</v>
      </c>
      <c r="L161" s="276">
        <f t="shared" si="29"/>
        <v>5.1704747949181402E-2</v>
      </c>
      <c r="M161" s="276">
        <f t="shared" si="29"/>
        <v>5.1704747949181402E-2</v>
      </c>
      <c r="N161" s="276">
        <f t="shared" si="29"/>
        <v>4.3913794565046203E-2</v>
      </c>
      <c r="O161" s="276">
        <f t="shared" si="29"/>
        <v>0</v>
      </c>
      <c r="P161" s="276">
        <f t="shared" si="29"/>
        <v>0</v>
      </c>
      <c r="Q161" s="276">
        <f t="shared" si="29"/>
        <v>6.1686826209113192E-2</v>
      </c>
      <c r="R161" s="276">
        <f t="shared" si="29"/>
        <v>0</v>
      </c>
      <c r="S161" s="276">
        <f t="shared" si="29"/>
        <v>0</v>
      </c>
      <c r="T161" s="276">
        <f t="shared" si="29"/>
        <v>0</v>
      </c>
      <c r="U161" s="276">
        <f t="shared" si="29"/>
        <v>0</v>
      </c>
      <c r="V161" s="276">
        <f t="shared" si="29"/>
        <v>0</v>
      </c>
      <c r="W161" s="276">
        <f t="shared" si="29"/>
        <v>0</v>
      </c>
      <c r="X161" s="276">
        <f t="shared" si="29"/>
        <v>0</v>
      </c>
      <c r="Y161" s="276">
        <f t="shared" si="29"/>
        <v>0</v>
      </c>
      <c r="Z161" s="267"/>
      <c r="AA161" s="267"/>
    </row>
    <row r="162" spans="3:27" x14ac:dyDescent="0.35">
      <c r="E162" s="32"/>
      <c r="F162" s="191"/>
      <c r="J162" s="163"/>
      <c r="K162" s="163"/>
      <c r="L162" s="163"/>
      <c r="M162" s="163"/>
      <c r="N162" s="163"/>
      <c r="O162" s="163"/>
      <c r="P162" s="163"/>
      <c r="Q162" s="163"/>
      <c r="R162" s="163"/>
      <c r="S162" s="163"/>
      <c r="T162" s="163"/>
      <c r="U162" s="163"/>
      <c r="V162" s="163"/>
      <c r="W162" s="163"/>
      <c r="X162" s="163"/>
      <c r="Y162" s="163"/>
    </row>
    <row r="163" spans="3:27" x14ac:dyDescent="0.35">
      <c r="E163" s="32" t="s">
        <v>622</v>
      </c>
      <c r="J163" s="163"/>
      <c r="K163" s="163"/>
      <c r="L163" s="163"/>
      <c r="M163" s="163"/>
      <c r="N163" s="163"/>
      <c r="O163" s="163"/>
      <c r="P163" s="163"/>
      <c r="Q163" s="163"/>
      <c r="R163" s="163"/>
      <c r="S163" s="163"/>
      <c r="T163" s="163"/>
      <c r="U163" s="163"/>
      <c r="V163" s="163"/>
      <c r="W163" s="163"/>
      <c r="X163" s="163"/>
      <c r="Y163" s="163"/>
    </row>
    <row r="164" spans="3:27" x14ac:dyDescent="0.35">
      <c r="D164" s="32"/>
      <c r="E164" s="32"/>
      <c r="F164" s="190" t="s">
        <v>189</v>
      </c>
      <c r="G164" s="23" t="s">
        <v>269</v>
      </c>
      <c r="H164" s="266"/>
      <c r="I164" s="266"/>
      <c r="J164" s="274">
        <f t="shared" ref="J164:Y164" si="30">hundred * $H30 * J55 / $H43 * J81 / hours_in_year</f>
        <v>2.1089419394156224</v>
      </c>
      <c r="K164" s="274">
        <f t="shared" si="30"/>
        <v>2.1089419394156224</v>
      </c>
      <c r="L164" s="274">
        <f t="shared" si="30"/>
        <v>2.4200845131366866</v>
      </c>
      <c r="M164" s="274">
        <f t="shared" si="30"/>
        <v>2.4200845131366866</v>
      </c>
      <c r="N164" s="274">
        <f t="shared" si="30"/>
        <v>2.0554223423424869</v>
      </c>
      <c r="O164" s="274">
        <f t="shared" si="30"/>
        <v>1.6929147393431689</v>
      </c>
      <c r="P164" s="274">
        <f t="shared" si="30"/>
        <v>1.7381814352832692</v>
      </c>
      <c r="Q164" s="274">
        <f t="shared" si="30"/>
        <v>3.0680215527927208</v>
      </c>
      <c r="R164" s="274">
        <f t="shared" si="30"/>
        <v>-1.6303419830363544</v>
      </c>
      <c r="S164" s="274">
        <f t="shared" si="30"/>
        <v>-1.5739698307566623</v>
      </c>
      <c r="T164" s="274">
        <f t="shared" si="30"/>
        <v>-1.6303419830363544</v>
      </c>
      <c r="U164" s="274">
        <f t="shared" si="30"/>
        <v>-1.6303419830363544</v>
      </c>
      <c r="V164" s="274">
        <f t="shared" si="30"/>
        <v>-1.5739698307566623</v>
      </c>
      <c r="W164" s="274">
        <f t="shared" si="30"/>
        <v>-1.5739698307566623</v>
      </c>
      <c r="X164" s="274">
        <f t="shared" si="30"/>
        <v>-1.5383663661589622</v>
      </c>
      <c r="Y164" s="274">
        <f t="shared" si="30"/>
        <v>-1.5383663661589622</v>
      </c>
      <c r="Z164" s="267"/>
      <c r="AA164" s="267"/>
    </row>
    <row r="165" spans="3:27" x14ac:dyDescent="0.35">
      <c r="D165" s="32"/>
      <c r="E165" s="32"/>
      <c r="F165" s="191" t="s">
        <v>191</v>
      </c>
      <c r="G165" t="s">
        <v>269</v>
      </c>
      <c r="H165" s="267"/>
      <c r="I165" s="267"/>
      <c r="J165" s="275">
        <f t="shared" ref="J165:Y165" si="31">hundred * $H31 * J56 / $H44 * J82 / hours_in_year</f>
        <v>0</v>
      </c>
      <c r="K165" s="275">
        <f t="shared" si="31"/>
        <v>0</v>
      </c>
      <c r="L165" s="275">
        <f t="shared" si="31"/>
        <v>0</v>
      </c>
      <c r="M165" s="275">
        <f t="shared" si="31"/>
        <v>0</v>
      </c>
      <c r="N165" s="275">
        <f t="shared" si="31"/>
        <v>0</v>
      </c>
      <c r="O165" s="275">
        <f t="shared" si="31"/>
        <v>0</v>
      </c>
      <c r="P165" s="275">
        <f t="shared" si="31"/>
        <v>0</v>
      </c>
      <c r="Q165" s="275">
        <f t="shared" si="31"/>
        <v>0</v>
      </c>
      <c r="R165" s="275">
        <f t="shared" si="31"/>
        <v>0</v>
      </c>
      <c r="S165" s="275">
        <f t="shared" si="31"/>
        <v>0</v>
      </c>
      <c r="T165" s="275">
        <f t="shared" si="31"/>
        <v>0</v>
      </c>
      <c r="U165" s="275">
        <f t="shared" si="31"/>
        <v>0</v>
      </c>
      <c r="V165" s="275">
        <f t="shared" si="31"/>
        <v>0</v>
      </c>
      <c r="W165" s="275">
        <f t="shared" si="31"/>
        <v>0</v>
      </c>
      <c r="X165" s="275">
        <f t="shared" si="31"/>
        <v>0</v>
      </c>
      <c r="Y165" s="275">
        <f t="shared" si="31"/>
        <v>0</v>
      </c>
      <c r="Z165" s="267"/>
      <c r="AA165" s="267"/>
    </row>
    <row r="166" spans="3:27" x14ac:dyDescent="0.35">
      <c r="D166" s="32"/>
      <c r="E166" s="32"/>
      <c r="F166" s="191" t="s">
        <v>192</v>
      </c>
      <c r="G166" t="s">
        <v>269</v>
      </c>
      <c r="H166" s="267"/>
      <c r="I166" s="267"/>
      <c r="J166" s="275">
        <f t="shared" ref="J166:Y166" si="32">hundred * $H32 * J57 / $H45 * J83 / hours_in_year</f>
        <v>0</v>
      </c>
      <c r="K166" s="275">
        <f t="shared" si="32"/>
        <v>0</v>
      </c>
      <c r="L166" s="275">
        <f t="shared" si="32"/>
        <v>0</v>
      </c>
      <c r="M166" s="275">
        <f t="shared" si="32"/>
        <v>0</v>
      </c>
      <c r="N166" s="275">
        <f t="shared" si="32"/>
        <v>0</v>
      </c>
      <c r="O166" s="275">
        <f t="shared" si="32"/>
        <v>0</v>
      </c>
      <c r="P166" s="275">
        <f t="shared" si="32"/>
        <v>0</v>
      </c>
      <c r="Q166" s="275">
        <f t="shared" si="32"/>
        <v>0</v>
      </c>
      <c r="R166" s="275">
        <f t="shared" si="32"/>
        <v>0</v>
      </c>
      <c r="S166" s="275">
        <f t="shared" si="32"/>
        <v>0</v>
      </c>
      <c r="T166" s="275">
        <f t="shared" si="32"/>
        <v>0</v>
      </c>
      <c r="U166" s="275">
        <f t="shared" si="32"/>
        <v>0</v>
      </c>
      <c r="V166" s="275">
        <f t="shared" si="32"/>
        <v>0</v>
      </c>
      <c r="W166" s="275">
        <f t="shared" si="32"/>
        <v>0</v>
      </c>
      <c r="X166" s="275">
        <f t="shared" si="32"/>
        <v>0</v>
      </c>
      <c r="Y166" s="275">
        <f t="shared" si="32"/>
        <v>0</v>
      </c>
      <c r="Z166" s="267"/>
      <c r="AA166" s="267"/>
    </row>
    <row r="167" spans="3:27" x14ac:dyDescent="0.35">
      <c r="D167" s="32"/>
      <c r="E167" s="32"/>
      <c r="F167" s="191" t="s">
        <v>193</v>
      </c>
      <c r="G167" t="s">
        <v>269</v>
      </c>
      <c r="H167" s="267"/>
      <c r="I167" s="267"/>
      <c r="J167" s="275">
        <f t="shared" ref="J167:Y167" si="33">hundred * $H33 * J58 / $H46 * J84 / hours_in_year</f>
        <v>0</v>
      </c>
      <c r="K167" s="275">
        <f t="shared" si="33"/>
        <v>0</v>
      </c>
      <c r="L167" s="275">
        <f t="shared" si="33"/>
        <v>0</v>
      </c>
      <c r="M167" s="275">
        <f t="shared" si="33"/>
        <v>0</v>
      </c>
      <c r="N167" s="275">
        <f t="shared" si="33"/>
        <v>0</v>
      </c>
      <c r="O167" s="275">
        <f t="shared" si="33"/>
        <v>0</v>
      </c>
      <c r="P167" s="275">
        <f t="shared" si="33"/>
        <v>0</v>
      </c>
      <c r="Q167" s="275">
        <f t="shared" si="33"/>
        <v>0</v>
      </c>
      <c r="R167" s="275">
        <f t="shared" si="33"/>
        <v>0</v>
      </c>
      <c r="S167" s="275">
        <f t="shared" si="33"/>
        <v>0</v>
      </c>
      <c r="T167" s="275">
        <f t="shared" si="33"/>
        <v>0</v>
      </c>
      <c r="U167" s="275">
        <f t="shared" si="33"/>
        <v>0</v>
      </c>
      <c r="V167" s="275">
        <f t="shared" si="33"/>
        <v>0</v>
      </c>
      <c r="W167" s="275">
        <f t="shared" si="33"/>
        <v>0</v>
      </c>
      <c r="X167" s="275">
        <f t="shared" si="33"/>
        <v>0</v>
      </c>
      <c r="Y167" s="275">
        <f t="shared" si="33"/>
        <v>0</v>
      </c>
      <c r="Z167" s="267"/>
      <c r="AA167" s="267"/>
    </row>
    <row r="168" spans="3:27" x14ac:dyDescent="0.35">
      <c r="D168" s="32"/>
      <c r="E168" s="32"/>
      <c r="F168" s="191" t="s">
        <v>194</v>
      </c>
      <c r="G168" t="s">
        <v>269</v>
      </c>
      <c r="H168" s="267"/>
      <c r="I168" s="267"/>
      <c r="J168" s="275">
        <f t="shared" ref="J168:Y168" si="34">hundred * $H34 * J59 / $H47 * J85 / hours_in_year</f>
        <v>0.63487767006422291</v>
      </c>
      <c r="K168" s="275">
        <f t="shared" si="34"/>
        <v>0.63487767006422291</v>
      </c>
      <c r="L168" s="275">
        <f t="shared" si="34"/>
        <v>0.72854429434149048</v>
      </c>
      <c r="M168" s="275">
        <f t="shared" si="34"/>
        <v>0.72854429434149048</v>
      </c>
      <c r="N168" s="275">
        <f t="shared" si="34"/>
        <v>0.61876608517062293</v>
      </c>
      <c r="O168" s="275">
        <f t="shared" si="34"/>
        <v>0.50963648891604507</v>
      </c>
      <c r="P168" s="275">
        <f t="shared" si="34"/>
        <v>0.52326361345315764</v>
      </c>
      <c r="Q168" s="275">
        <f t="shared" si="34"/>
        <v>0.88183440850538664</v>
      </c>
      <c r="R168" s="275">
        <f t="shared" si="34"/>
        <v>-0.49079953328862996</v>
      </c>
      <c r="S168" s="275">
        <f t="shared" si="34"/>
        <v>-0.47382921275635709</v>
      </c>
      <c r="T168" s="275">
        <f t="shared" si="34"/>
        <v>-0.49079953328862996</v>
      </c>
      <c r="U168" s="275">
        <f t="shared" si="34"/>
        <v>-0.49079953328862996</v>
      </c>
      <c r="V168" s="275">
        <f t="shared" si="34"/>
        <v>-0.47382921275635709</v>
      </c>
      <c r="W168" s="275">
        <f t="shared" si="34"/>
        <v>-0.47382921275635709</v>
      </c>
      <c r="X168" s="275">
        <f t="shared" si="34"/>
        <v>-0.46311111557807938</v>
      </c>
      <c r="Y168" s="275">
        <f t="shared" si="34"/>
        <v>-0.46311111557807938</v>
      </c>
      <c r="Z168" s="267"/>
      <c r="AA168" s="267"/>
    </row>
    <row r="169" spans="3:27" x14ac:dyDescent="0.35">
      <c r="D169" s="32"/>
      <c r="E169" s="32"/>
      <c r="F169" s="191" t="s">
        <v>195</v>
      </c>
      <c r="G169" t="s">
        <v>269</v>
      </c>
      <c r="H169" s="267"/>
      <c r="I169" s="267"/>
      <c r="J169" s="275">
        <f t="shared" ref="J169:Y169" si="35">hundred * $H35 * J60 / $H48 * J86 / hours_in_year</f>
        <v>0.57443497019628142</v>
      </c>
      <c r="K169" s="275">
        <f t="shared" si="35"/>
        <v>0.57443497019628142</v>
      </c>
      <c r="L169" s="275">
        <f t="shared" si="35"/>
        <v>0.65918418577296989</v>
      </c>
      <c r="M169" s="275">
        <f t="shared" si="35"/>
        <v>0.65918418577296989</v>
      </c>
      <c r="N169" s="275">
        <f t="shared" si="35"/>
        <v>0.55985726771190569</v>
      </c>
      <c r="O169" s="275">
        <f t="shared" si="35"/>
        <v>0.46111721222107488</v>
      </c>
      <c r="P169" s="275">
        <f t="shared" si="35"/>
        <v>0.47344698415421815</v>
      </c>
      <c r="Q169" s="275">
        <f t="shared" si="35"/>
        <v>0.79788051470861321</v>
      </c>
      <c r="R169" s="275">
        <f t="shared" si="35"/>
        <v>-0.44407360436615023</v>
      </c>
      <c r="S169" s="275">
        <f t="shared" si="35"/>
        <v>-0.42871892104866727</v>
      </c>
      <c r="T169" s="275">
        <f t="shared" si="35"/>
        <v>-0.44407360436615023</v>
      </c>
      <c r="U169" s="275">
        <f t="shared" si="35"/>
        <v>-0.44407360436615023</v>
      </c>
      <c r="V169" s="275">
        <f t="shared" si="35"/>
        <v>-0.42871892104866727</v>
      </c>
      <c r="W169" s="275">
        <f t="shared" si="35"/>
        <v>-0.42871892104866727</v>
      </c>
      <c r="X169" s="275">
        <f t="shared" si="35"/>
        <v>-0.41902122632183597</v>
      </c>
      <c r="Y169" s="275">
        <f t="shared" si="35"/>
        <v>-0.41902122632183597</v>
      </c>
      <c r="Z169" s="267"/>
      <c r="AA169" s="267"/>
    </row>
    <row r="170" spans="3:27" x14ac:dyDescent="0.35">
      <c r="D170" s="32"/>
      <c r="E170" s="32"/>
      <c r="F170" s="191" t="s">
        <v>196</v>
      </c>
      <c r="G170" t="s">
        <v>269</v>
      </c>
      <c r="H170" s="267"/>
      <c r="I170" s="267"/>
      <c r="J170" s="275">
        <f t="shared" ref="J170:Y170" si="36">hundred * $H36 * J61 / $H49 * J87 / hours_in_year</f>
        <v>0</v>
      </c>
      <c r="K170" s="275">
        <f t="shared" si="36"/>
        <v>0</v>
      </c>
      <c r="L170" s="275">
        <f t="shared" si="36"/>
        <v>0</v>
      </c>
      <c r="M170" s="275">
        <f t="shared" si="36"/>
        <v>0</v>
      </c>
      <c r="N170" s="275">
        <f t="shared" si="36"/>
        <v>0</v>
      </c>
      <c r="O170" s="275">
        <f t="shared" si="36"/>
        <v>0</v>
      </c>
      <c r="P170" s="275">
        <f t="shared" si="36"/>
        <v>0</v>
      </c>
      <c r="Q170" s="275">
        <f t="shared" si="36"/>
        <v>0</v>
      </c>
      <c r="R170" s="275">
        <f t="shared" si="36"/>
        <v>0</v>
      </c>
      <c r="S170" s="275">
        <f t="shared" si="36"/>
        <v>0</v>
      </c>
      <c r="T170" s="275">
        <f t="shared" si="36"/>
        <v>0</v>
      </c>
      <c r="U170" s="275">
        <f t="shared" si="36"/>
        <v>0</v>
      </c>
      <c r="V170" s="275">
        <f t="shared" si="36"/>
        <v>0</v>
      </c>
      <c r="W170" s="275">
        <f t="shared" si="36"/>
        <v>0</v>
      </c>
      <c r="X170" s="275">
        <f t="shared" si="36"/>
        <v>0</v>
      </c>
      <c r="Y170" s="275">
        <f t="shared" si="36"/>
        <v>0</v>
      </c>
      <c r="Z170" s="267"/>
      <c r="AA170" s="267"/>
    </row>
    <row r="171" spans="3:27" x14ac:dyDescent="0.35">
      <c r="D171" s="32"/>
      <c r="E171" s="32"/>
      <c r="F171" s="191" t="s">
        <v>197</v>
      </c>
      <c r="G171" t="s">
        <v>269</v>
      </c>
      <c r="H171" s="267"/>
      <c r="I171" s="267"/>
      <c r="J171" s="275">
        <f t="shared" ref="J171:Y171" si="37">hundred * $H37 * J62 / $H50 * J88 / hours_in_year</f>
        <v>2.1039714561367351</v>
      </c>
      <c r="K171" s="275">
        <f t="shared" si="37"/>
        <v>2.1039714561367351</v>
      </c>
      <c r="L171" s="275">
        <f t="shared" si="37"/>
        <v>2.4143807100204313</v>
      </c>
      <c r="M171" s="275">
        <f t="shared" si="37"/>
        <v>2.4143807100204313</v>
      </c>
      <c r="N171" s="275">
        <f t="shared" si="37"/>
        <v>2.0505779973215446</v>
      </c>
      <c r="O171" s="275">
        <f t="shared" si="37"/>
        <v>1.688924774400455</v>
      </c>
      <c r="P171" s="275">
        <f t="shared" si="37"/>
        <v>1.7340847830244868</v>
      </c>
      <c r="Q171" s="275">
        <f t="shared" si="37"/>
        <v>2.8804991643716864</v>
      </c>
      <c r="R171" s="275">
        <f t="shared" si="37"/>
        <v>-1.6264994933906718</v>
      </c>
      <c r="S171" s="275">
        <f t="shared" si="37"/>
        <v>-1.5702602024454073</v>
      </c>
      <c r="T171" s="275">
        <f t="shared" si="37"/>
        <v>-1.6264994933906718</v>
      </c>
      <c r="U171" s="275">
        <f t="shared" si="37"/>
        <v>-1.6264994933906718</v>
      </c>
      <c r="V171" s="275">
        <f t="shared" si="37"/>
        <v>-1.5702602024454073</v>
      </c>
      <c r="W171" s="275">
        <f t="shared" si="37"/>
        <v>-1.5702602024454073</v>
      </c>
      <c r="X171" s="275">
        <f t="shared" si="37"/>
        <v>0</v>
      </c>
      <c r="Y171" s="275">
        <f t="shared" si="37"/>
        <v>0</v>
      </c>
      <c r="Z171" s="267"/>
      <c r="AA171" s="267"/>
    </row>
    <row r="172" spans="3:27" x14ac:dyDescent="0.35">
      <c r="D172" s="32"/>
      <c r="E172" s="32"/>
      <c r="F172" s="191" t="s">
        <v>198</v>
      </c>
      <c r="G172" t="s">
        <v>269</v>
      </c>
      <c r="H172" s="267"/>
      <c r="I172" s="267"/>
      <c r="J172" s="275">
        <f t="shared" ref="J172:Y172" si="38">hundred * $H38 * J63 / $H51 * J89 / hours_in_year</f>
        <v>0.5094799834224627</v>
      </c>
      <c r="K172" s="275">
        <f t="shared" si="38"/>
        <v>0.5094799834224627</v>
      </c>
      <c r="L172" s="275">
        <f t="shared" si="38"/>
        <v>0.5846460704250076</v>
      </c>
      <c r="M172" s="275">
        <f t="shared" si="38"/>
        <v>0.5846460704250076</v>
      </c>
      <c r="N172" s="275">
        <f t="shared" si="38"/>
        <v>0.4965506737435279</v>
      </c>
      <c r="O172" s="275">
        <f t="shared" si="38"/>
        <v>0.4089757793783535</v>
      </c>
      <c r="P172" s="275">
        <f t="shared" si="38"/>
        <v>0</v>
      </c>
      <c r="Q172" s="275">
        <f t="shared" si="38"/>
        <v>0.6975173841983574</v>
      </c>
      <c r="R172" s="275">
        <f t="shared" si="38"/>
        <v>-0.39385939980901963</v>
      </c>
      <c r="S172" s="275">
        <f t="shared" si="38"/>
        <v>0</v>
      </c>
      <c r="T172" s="275">
        <f t="shared" si="38"/>
        <v>-0.39385939980901963</v>
      </c>
      <c r="U172" s="275">
        <f t="shared" si="38"/>
        <v>-0.39385939980901963</v>
      </c>
      <c r="V172" s="275">
        <f t="shared" si="38"/>
        <v>0</v>
      </c>
      <c r="W172" s="275">
        <f t="shared" si="38"/>
        <v>0</v>
      </c>
      <c r="X172" s="275">
        <f t="shared" si="38"/>
        <v>0</v>
      </c>
      <c r="Y172" s="275">
        <f t="shared" si="38"/>
        <v>0</v>
      </c>
      <c r="Z172" s="267"/>
      <c r="AA172" s="267"/>
    </row>
    <row r="173" spans="3:27" x14ac:dyDescent="0.35">
      <c r="D173" s="32"/>
      <c r="E173" s="32"/>
      <c r="F173" s="192" t="s">
        <v>199</v>
      </c>
      <c r="G173" s="37" t="s">
        <v>269</v>
      </c>
      <c r="H173" s="269"/>
      <c r="I173" s="269"/>
      <c r="J173" s="276">
        <f t="shared" ref="J173:Y173" si="39">hundred * $H39 * J64 / $H52 * J90 / hours_in_year</f>
        <v>1.2094081614594394</v>
      </c>
      <c r="K173" s="276">
        <f t="shared" si="39"/>
        <v>1.2094081614594394</v>
      </c>
      <c r="L173" s="276">
        <f t="shared" si="39"/>
        <v>1.3878380940255399</v>
      </c>
      <c r="M173" s="276">
        <f t="shared" si="39"/>
        <v>1.3878380940255399</v>
      </c>
      <c r="N173" s="276">
        <f t="shared" si="39"/>
        <v>1.178716449995725</v>
      </c>
      <c r="O173" s="276">
        <f t="shared" si="39"/>
        <v>0</v>
      </c>
      <c r="P173" s="276">
        <f t="shared" si="39"/>
        <v>0</v>
      </c>
      <c r="Q173" s="276">
        <f t="shared" si="39"/>
        <v>1.6557730326175162</v>
      </c>
      <c r="R173" s="276">
        <f t="shared" si="39"/>
        <v>0</v>
      </c>
      <c r="S173" s="276">
        <f t="shared" si="39"/>
        <v>0</v>
      </c>
      <c r="T173" s="276">
        <f t="shared" si="39"/>
        <v>0</v>
      </c>
      <c r="U173" s="276">
        <f t="shared" si="39"/>
        <v>0</v>
      </c>
      <c r="V173" s="276">
        <f t="shared" si="39"/>
        <v>0</v>
      </c>
      <c r="W173" s="276">
        <f t="shared" si="39"/>
        <v>0</v>
      </c>
      <c r="X173" s="276">
        <f t="shared" si="39"/>
        <v>0</v>
      </c>
      <c r="Y173" s="276">
        <f t="shared" si="39"/>
        <v>0</v>
      </c>
      <c r="Z173" s="267"/>
      <c r="AA173" s="267"/>
    </row>
    <row r="174" spans="3:27" x14ac:dyDescent="0.3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3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3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35">
      <c r="D177" s="29" t="s">
        <v>626</v>
      </c>
      <c r="E177" s="32"/>
      <c r="F177" s="32"/>
      <c r="J177" s="163"/>
      <c r="K177" s="163"/>
      <c r="L177" s="163"/>
      <c r="M177" s="163"/>
      <c r="N177" s="163"/>
      <c r="O177" s="163"/>
      <c r="P177" s="163"/>
      <c r="Q177" s="163"/>
      <c r="R177" s="163"/>
      <c r="S177" s="163"/>
      <c r="T177" s="163"/>
      <c r="U177" s="163"/>
      <c r="V177" s="163"/>
      <c r="W177" s="163"/>
      <c r="X177" s="163"/>
      <c r="Y177" s="163"/>
    </row>
    <row r="178" spans="4:27" x14ac:dyDescent="0.35">
      <c r="D178" s="29" t="s">
        <v>624</v>
      </c>
      <c r="E178" s="32"/>
      <c r="F178" s="32"/>
      <c r="J178" s="163"/>
      <c r="K178" s="163"/>
      <c r="L178" s="163"/>
      <c r="M178" s="163"/>
      <c r="N178" s="163"/>
      <c r="O178" s="163"/>
      <c r="P178" s="163"/>
      <c r="Q178" s="163"/>
      <c r="R178" s="163"/>
      <c r="S178" s="163"/>
      <c r="T178" s="163"/>
      <c r="U178" s="163"/>
      <c r="V178" s="163"/>
      <c r="W178" s="163"/>
      <c r="X178" s="163"/>
      <c r="Y178" s="163"/>
    </row>
    <row r="179" spans="4:27" x14ac:dyDescent="0.35">
      <c r="D179" s="32"/>
      <c r="E179" s="32"/>
      <c r="F179" s="32"/>
      <c r="I179" s="3" t="s">
        <v>154</v>
      </c>
      <c r="J179" s="163"/>
      <c r="K179" s="163"/>
      <c r="L179" s="163"/>
      <c r="M179" s="163"/>
      <c r="N179" s="163"/>
      <c r="O179" s="163"/>
      <c r="P179" s="163"/>
      <c r="Q179" s="163"/>
      <c r="R179" s="163"/>
      <c r="S179" s="163"/>
      <c r="T179" s="163"/>
      <c r="U179" s="163"/>
      <c r="V179" s="163"/>
      <c r="W179" s="163"/>
      <c r="X179" s="163"/>
      <c r="Y179" s="163"/>
      <c r="AA179" t="s">
        <v>625</v>
      </c>
    </row>
    <row r="180" spans="4:27" x14ac:dyDescent="0.35">
      <c r="E180" s="32" t="s">
        <v>621</v>
      </c>
      <c r="J180" s="163"/>
      <c r="K180" s="163"/>
      <c r="L180" s="163"/>
      <c r="M180" s="163"/>
      <c r="N180" s="163"/>
      <c r="O180" s="163"/>
      <c r="P180" s="163"/>
      <c r="Q180" s="163"/>
      <c r="R180" s="163"/>
      <c r="S180" s="163"/>
      <c r="T180" s="163"/>
      <c r="U180" s="163"/>
      <c r="V180" s="163"/>
      <c r="W180" s="163"/>
      <c r="X180" s="163"/>
      <c r="Y180" s="163"/>
    </row>
    <row r="181" spans="4:27" x14ac:dyDescent="0.35">
      <c r="E181" s="32"/>
      <c r="F181" s="190" t="s">
        <v>189</v>
      </c>
      <c r="G181" s="23" t="s">
        <v>269</v>
      </c>
      <c r="H181" s="266"/>
      <c r="I181" s="266"/>
      <c r="J181" s="274">
        <f t="shared" ref="J181:Y181" si="40">hundred * $H18 * J55 / $H43 * J93 * (1 - J67) / hours_in_year</f>
        <v>0</v>
      </c>
      <c r="K181" s="274">
        <f t="shared" si="40"/>
        <v>0</v>
      </c>
      <c r="L181" s="274">
        <f t="shared" si="40"/>
        <v>0</v>
      </c>
      <c r="M181" s="274">
        <f t="shared" si="40"/>
        <v>0</v>
      </c>
      <c r="N181" s="274">
        <f t="shared" si="40"/>
        <v>0</v>
      </c>
      <c r="O181" s="274">
        <f t="shared" si="40"/>
        <v>0</v>
      </c>
      <c r="P181" s="274">
        <f t="shared" si="40"/>
        <v>0</v>
      </c>
      <c r="Q181" s="274">
        <f t="shared" si="40"/>
        <v>0</v>
      </c>
      <c r="R181" s="274">
        <f t="shared" si="40"/>
        <v>0</v>
      </c>
      <c r="S181" s="274">
        <f t="shared" si="40"/>
        <v>0</v>
      </c>
      <c r="T181" s="274">
        <f t="shared" si="40"/>
        <v>0</v>
      </c>
      <c r="U181" s="274">
        <f t="shared" si="40"/>
        <v>0</v>
      </c>
      <c r="V181" s="274">
        <f t="shared" si="40"/>
        <v>0</v>
      </c>
      <c r="W181" s="274">
        <f t="shared" si="40"/>
        <v>0</v>
      </c>
      <c r="X181" s="274">
        <f t="shared" si="40"/>
        <v>0</v>
      </c>
      <c r="Y181" s="274">
        <f t="shared" si="40"/>
        <v>0</v>
      </c>
      <c r="Z181" s="267"/>
      <c r="AA181" s="267"/>
    </row>
    <row r="182" spans="4:27" x14ac:dyDescent="0.35">
      <c r="E182" s="32"/>
      <c r="F182" s="191" t="s">
        <v>191</v>
      </c>
      <c r="G182" t="s">
        <v>269</v>
      </c>
      <c r="H182" s="267"/>
      <c r="I182" s="267"/>
      <c r="J182" s="275">
        <f t="shared" ref="J182:Y182" si="41">hundred * $H19 * J56 / $H44 * J94 * (1 - J68) / hours_in_year</f>
        <v>0</v>
      </c>
      <c r="K182" s="275">
        <f t="shared" si="41"/>
        <v>0</v>
      </c>
      <c r="L182" s="275">
        <f t="shared" si="41"/>
        <v>0</v>
      </c>
      <c r="M182" s="275">
        <f t="shared" si="41"/>
        <v>0</v>
      </c>
      <c r="N182" s="275">
        <f t="shared" si="41"/>
        <v>0</v>
      </c>
      <c r="O182" s="275">
        <f t="shared" si="41"/>
        <v>0</v>
      </c>
      <c r="P182" s="275">
        <f t="shared" si="41"/>
        <v>0</v>
      </c>
      <c r="Q182" s="275">
        <f t="shared" si="41"/>
        <v>0</v>
      </c>
      <c r="R182" s="275">
        <f t="shared" si="41"/>
        <v>0</v>
      </c>
      <c r="S182" s="275">
        <f t="shared" si="41"/>
        <v>0</v>
      </c>
      <c r="T182" s="275">
        <f t="shared" si="41"/>
        <v>0</v>
      </c>
      <c r="U182" s="275">
        <f t="shared" si="41"/>
        <v>0</v>
      </c>
      <c r="V182" s="275">
        <f t="shared" si="41"/>
        <v>0</v>
      </c>
      <c r="W182" s="275">
        <f t="shared" si="41"/>
        <v>0</v>
      </c>
      <c r="X182" s="275">
        <f t="shared" si="41"/>
        <v>0</v>
      </c>
      <c r="Y182" s="275">
        <f t="shared" si="41"/>
        <v>0</v>
      </c>
      <c r="Z182" s="267"/>
      <c r="AA182" s="267"/>
    </row>
    <row r="183" spans="4:27" x14ac:dyDescent="0.35">
      <c r="E183" s="32"/>
      <c r="F183" s="191" t="s">
        <v>192</v>
      </c>
      <c r="G183" t="s">
        <v>269</v>
      </c>
      <c r="H183" s="267"/>
      <c r="I183" s="267"/>
      <c r="J183" s="275">
        <f t="shared" ref="J183:Y183" si="42">hundred * $H20 * J57 / $H45 * J95 * (1 - J69) / hours_in_year</f>
        <v>0</v>
      </c>
      <c r="K183" s="275">
        <f t="shared" si="42"/>
        <v>0</v>
      </c>
      <c r="L183" s="275">
        <f t="shared" si="42"/>
        <v>0</v>
      </c>
      <c r="M183" s="275">
        <f t="shared" si="42"/>
        <v>0</v>
      </c>
      <c r="N183" s="275">
        <f t="shared" si="42"/>
        <v>0</v>
      </c>
      <c r="O183" s="275">
        <f t="shared" si="42"/>
        <v>0</v>
      </c>
      <c r="P183" s="275">
        <f t="shared" si="42"/>
        <v>0</v>
      </c>
      <c r="Q183" s="275">
        <f t="shared" si="42"/>
        <v>0</v>
      </c>
      <c r="R183" s="275">
        <f t="shared" si="42"/>
        <v>0</v>
      </c>
      <c r="S183" s="275">
        <f t="shared" si="42"/>
        <v>0</v>
      </c>
      <c r="T183" s="275">
        <f t="shared" si="42"/>
        <v>0</v>
      </c>
      <c r="U183" s="275">
        <f t="shared" si="42"/>
        <v>0</v>
      </c>
      <c r="V183" s="275">
        <f t="shared" si="42"/>
        <v>0</v>
      </c>
      <c r="W183" s="275">
        <f t="shared" si="42"/>
        <v>0</v>
      </c>
      <c r="X183" s="275">
        <f t="shared" si="42"/>
        <v>0</v>
      </c>
      <c r="Y183" s="275">
        <f t="shared" si="42"/>
        <v>0</v>
      </c>
      <c r="Z183" s="267"/>
      <c r="AA183" s="267"/>
    </row>
    <row r="184" spans="4:27" x14ac:dyDescent="0.35">
      <c r="E184" s="32"/>
      <c r="F184" s="191" t="s">
        <v>193</v>
      </c>
      <c r="G184" t="s">
        <v>269</v>
      </c>
      <c r="H184" s="267"/>
      <c r="I184" s="267"/>
      <c r="J184" s="275">
        <f t="shared" ref="J184:Y184" si="43">hundred * $H21 * J58 / $H46 * J96 * (1 - J70) / hours_in_year</f>
        <v>0</v>
      </c>
      <c r="K184" s="275">
        <f t="shared" si="43"/>
        <v>0</v>
      </c>
      <c r="L184" s="275">
        <f t="shared" si="43"/>
        <v>0</v>
      </c>
      <c r="M184" s="275">
        <f t="shared" si="43"/>
        <v>0</v>
      </c>
      <c r="N184" s="275">
        <f t="shared" si="43"/>
        <v>0</v>
      </c>
      <c r="O184" s="275">
        <f t="shared" si="43"/>
        <v>0</v>
      </c>
      <c r="P184" s="275">
        <f t="shared" si="43"/>
        <v>0</v>
      </c>
      <c r="Q184" s="275">
        <f t="shared" si="43"/>
        <v>0</v>
      </c>
      <c r="R184" s="275">
        <f t="shared" si="43"/>
        <v>0</v>
      </c>
      <c r="S184" s="275">
        <f t="shared" si="43"/>
        <v>0</v>
      </c>
      <c r="T184" s="275">
        <f t="shared" si="43"/>
        <v>0</v>
      </c>
      <c r="U184" s="275">
        <f t="shared" si="43"/>
        <v>0</v>
      </c>
      <c r="V184" s="275">
        <f t="shared" si="43"/>
        <v>0</v>
      </c>
      <c r="W184" s="275">
        <f t="shared" si="43"/>
        <v>0</v>
      </c>
      <c r="X184" s="275">
        <f t="shared" si="43"/>
        <v>0</v>
      </c>
      <c r="Y184" s="275">
        <f t="shared" si="43"/>
        <v>0</v>
      </c>
      <c r="Z184" s="267"/>
      <c r="AA184" s="267"/>
    </row>
    <row r="185" spans="4:27" x14ac:dyDescent="0.35">
      <c r="E185" s="32"/>
      <c r="F185" s="191" t="s">
        <v>194</v>
      </c>
      <c r="G185" t="s">
        <v>269</v>
      </c>
      <c r="H185" s="267"/>
      <c r="I185" s="267"/>
      <c r="J185" s="275">
        <f t="shared" ref="J185:Y185" si="44">hundred * $H22 * J59 / $H47 * J97 * (1 - J71) / hours_in_year</f>
        <v>0.13922745039619644</v>
      </c>
      <c r="K185" s="275">
        <f t="shared" si="44"/>
        <v>0.13922745039619644</v>
      </c>
      <c r="L185" s="275">
        <f t="shared" si="44"/>
        <v>0.15976836071679926</v>
      </c>
      <c r="M185" s="275">
        <f t="shared" si="44"/>
        <v>0.15976836071679926</v>
      </c>
      <c r="N185" s="275">
        <f t="shared" si="44"/>
        <v>0.13569421085675748</v>
      </c>
      <c r="O185" s="275">
        <f t="shared" si="44"/>
        <v>0.11176230056015779</v>
      </c>
      <c r="P185" s="275">
        <f t="shared" si="44"/>
        <v>0.11414273920332751</v>
      </c>
      <c r="Q185" s="275">
        <f t="shared" si="44"/>
        <v>9.4468507094144769E-2</v>
      </c>
      <c r="R185" s="275">
        <f t="shared" si="44"/>
        <v>-0.10763139246731847</v>
      </c>
      <c r="S185" s="275">
        <f t="shared" si="44"/>
        <v>-0.10390983385607359</v>
      </c>
      <c r="T185" s="275">
        <f t="shared" si="44"/>
        <v>-0.10763139246731847</v>
      </c>
      <c r="U185" s="275">
        <f t="shared" si="44"/>
        <v>-0.10763139246731847</v>
      </c>
      <c r="V185" s="275">
        <f t="shared" si="44"/>
        <v>-0.10390983385607359</v>
      </c>
      <c r="W185" s="275">
        <f t="shared" si="44"/>
        <v>-0.10390983385607359</v>
      </c>
      <c r="X185" s="275">
        <f t="shared" si="44"/>
        <v>-0.10102130155534475</v>
      </c>
      <c r="Y185" s="275">
        <f t="shared" si="44"/>
        <v>-0.10102130155534475</v>
      </c>
      <c r="Z185" s="267"/>
      <c r="AA185" s="267"/>
    </row>
    <row r="186" spans="4:27" x14ac:dyDescent="0.35">
      <c r="E186" s="32"/>
      <c r="F186" s="191" t="s">
        <v>195</v>
      </c>
      <c r="G186" t="s">
        <v>269</v>
      </c>
      <c r="H186" s="267"/>
      <c r="I186" s="267"/>
      <c r="J186" s="275">
        <f t="shared" ref="J186:Y186" si="45">hundred * $H23 * J60 / $H48 * J98 * (1 - J72) / hours_in_year</f>
        <v>0.12626055965122468</v>
      </c>
      <c r="K186" s="275">
        <f t="shared" si="45"/>
        <v>0.12626055965122468</v>
      </c>
      <c r="L186" s="275">
        <f t="shared" si="45"/>
        <v>0.14488840082367044</v>
      </c>
      <c r="M186" s="275">
        <f t="shared" si="45"/>
        <v>0.14488840082367044</v>
      </c>
      <c r="N186" s="275">
        <f t="shared" si="45"/>
        <v>0.12305638690826398</v>
      </c>
      <c r="O186" s="275">
        <f t="shared" si="45"/>
        <v>0.10135336513365761</v>
      </c>
      <c r="P186" s="275">
        <f t="shared" si="45"/>
        <v>0.10370762297706969</v>
      </c>
      <c r="Q186" s="275">
        <f t="shared" si="45"/>
        <v>8.567022193669542E-2</v>
      </c>
      <c r="R186" s="275">
        <f t="shared" si="45"/>
        <v>-9.7607187449691948E-2</v>
      </c>
      <c r="S186" s="275">
        <f t="shared" si="45"/>
        <v>-9.423223465343325E-2</v>
      </c>
      <c r="T186" s="275">
        <f t="shared" si="45"/>
        <v>-9.7607187449691948E-2</v>
      </c>
      <c r="U186" s="275">
        <f t="shared" si="45"/>
        <v>-9.7607187449691948E-2</v>
      </c>
      <c r="V186" s="275">
        <f t="shared" si="45"/>
        <v>-9.423223465343325E-2</v>
      </c>
      <c r="W186" s="275">
        <f t="shared" si="45"/>
        <v>-9.423223465343325E-2</v>
      </c>
      <c r="X186" s="275">
        <f t="shared" si="45"/>
        <v>-9.1785768656664046E-2</v>
      </c>
      <c r="Y186" s="275">
        <f t="shared" si="45"/>
        <v>-9.1785768656664046E-2</v>
      </c>
      <c r="Z186" s="267"/>
      <c r="AA186" s="267"/>
    </row>
    <row r="187" spans="4:27" x14ac:dyDescent="0.35">
      <c r="E187" s="32"/>
      <c r="F187" s="191" t="s">
        <v>196</v>
      </c>
      <c r="G187" t="s">
        <v>269</v>
      </c>
      <c r="H187" s="267"/>
      <c r="I187" s="267"/>
      <c r="J187" s="275">
        <f t="shared" ref="J187:Y187" si="46">hundred * $H24 * J61 / $H49 * J99 * (1 - J73) / hours_in_year</f>
        <v>0</v>
      </c>
      <c r="K187" s="275">
        <f t="shared" si="46"/>
        <v>0</v>
      </c>
      <c r="L187" s="275">
        <f t="shared" si="46"/>
        <v>0</v>
      </c>
      <c r="M187" s="275">
        <f t="shared" si="46"/>
        <v>0</v>
      </c>
      <c r="N187" s="275">
        <f t="shared" si="46"/>
        <v>0</v>
      </c>
      <c r="O187" s="275">
        <f t="shared" si="46"/>
        <v>0</v>
      </c>
      <c r="P187" s="275">
        <f t="shared" si="46"/>
        <v>0</v>
      </c>
      <c r="Q187" s="275">
        <f t="shared" si="46"/>
        <v>0</v>
      </c>
      <c r="R187" s="275">
        <f t="shared" si="46"/>
        <v>0</v>
      </c>
      <c r="S187" s="275">
        <f t="shared" si="46"/>
        <v>0</v>
      </c>
      <c r="T187" s="275">
        <f t="shared" si="46"/>
        <v>0</v>
      </c>
      <c r="U187" s="275">
        <f t="shared" si="46"/>
        <v>0</v>
      </c>
      <c r="V187" s="275">
        <f t="shared" si="46"/>
        <v>0</v>
      </c>
      <c r="W187" s="275">
        <f t="shared" si="46"/>
        <v>0</v>
      </c>
      <c r="X187" s="275">
        <f t="shared" si="46"/>
        <v>0</v>
      </c>
      <c r="Y187" s="275">
        <f t="shared" si="46"/>
        <v>0</v>
      </c>
      <c r="Z187" s="267"/>
      <c r="AA187" s="267"/>
    </row>
    <row r="188" spans="4:27" x14ac:dyDescent="0.35">
      <c r="E188" s="32"/>
      <c r="F188" s="191" t="s">
        <v>197</v>
      </c>
      <c r="G188" t="s">
        <v>269</v>
      </c>
      <c r="H188" s="267"/>
      <c r="I188" s="267"/>
      <c r="J188" s="275">
        <f t="shared" ref="J188:Y188" si="47">hundred * $H25 * J62 / $H50 * J100 * (1 - J74) / hours_in_year</f>
        <v>0.3231718514824064</v>
      </c>
      <c r="K188" s="275">
        <f t="shared" si="47"/>
        <v>0.3231718514824064</v>
      </c>
      <c r="L188" s="275">
        <f t="shared" si="47"/>
        <v>0.3708509837264643</v>
      </c>
      <c r="M188" s="275">
        <f t="shared" si="47"/>
        <v>0.3708509837264643</v>
      </c>
      <c r="N188" s="275">
        <f t="shared" si="47"/>
        <v>0.31497056961994307</v>
      </c>
      <c r="O188" s="275">
        <f t="shared" si="47"/>
        <v>0.25942031901882834</v>
      </c>
      <c r="P188" s="275">
        <f t="shared" si="47"/>
        <v>0.28315784090454432</v>
      </c>
      <c r="Q188" s="275">
        <f t="shared" si="47"/>
        <v>0.21283790556697599</v>
      </c>
      <c r="R188" s="275">
        <f t="shared" si="47"/>
        <v>-0.2498317413865612</v>
      </c>
      <c r="S188" s="275">
        <f t="shared" si="47"/>
        <v>-0.2411933372257884</v>
      </c>
      <c r="T188" s="275">
        <f t="shared" si="47"/>
        <v>-0.2498317413865612</v>
      </c>
      <c r="U188" s="275">
        <f t="shared" si="47"/>
        <v>-0.2498317413865612</v>
      </c>
      <c r="V188" s="275">
        <f t="shared" si="47"/>
        <v>-0.2411933372257884</v>
      </c>
      <c r="W188" s="275">
        <f t="shared" si="47"/>
        <v>-0.2411933372257884</v>
      </c>
      <c r="X188" s="275">
        <f t="shared" si="47"/>
        <v>0</v>
      </c>
      <c r="Y188" s="275">
        <f t="shared" si="47"/>
        <v>0</v>
      </c>
      <c r="Z188" s="267"/>
      <c r="AA188" s="267"/>
    </row>
    <row r="189" spans="4:27" x14ac:dyDescent="0.35">
      <c r="E189" s="32"/>
      <c r="F189" s="191" t="s">
        <v>198</v>
      </c>
      <c r="G189" t="s">
        <v>269</v>
      </c>
      <c r="H189" s="267"/>
      <c r="I189" s="267"/>
      <c r="J189" s="275">
        <f t="shared" ref="J189:Y189" si="48">hundred * $H26 * J63 / $H51 * J101 * (1 - J75) / hours_in_year</f>
        <v>2.959812519396765E-2</v>
      </c>
      <c r="K189" s="275">
        <f t="shared" si="48"/>
        <v>2.959812519396765E-2</v>
      </c>
      <c r="L189" s="275">
        <f t="shared" si="48"/>
        <v>3.3964882134047851E-2</v>
      </c>
      <c r="M189" s="275">
        <f t="shared" si="48"/>
        <v>3.3964882134047851E-2</v>
      </c>
      <c r="N189" s="275">
        <f t="shared" si="48"/>
        <v>2.8846999852441983E-2</v>
      </c>
      <c r="O189" s="275">
        <f t="shared" si="48"/>
        <v>2.3759356035982986E-2</v>
      </c>
      <c r="P189" s="275">
        <f t="shared" si="48"/>
        <v>0</v>
      </c>
      <c r="Q189" s="275">
        <f t="shared" si="48"/>
        <v>1.9493043549729375E-2</v>
      </c>
      <c r="R189" s="275">
        <f t="shared" si="48"/>
        <v>-2.2881173360449529E-2</v>
      </c>
      <c r="S189" s="275">
        <f t="shared" si="48"/>
        <v>0</v>
      </c>
      <c r="T189" s="275">
        <f t="shared" si="48"/>
        <v>-2.2881173360449529E-2</v>
      </c>
      <c r="U189" s="275">
        <f t="shared" si="48"/>
        <v>-2.2881173360449529E-2</v>
      </c>
      <c r="V189" s="275">
        <f t="shared" si="48"/>
        <v>0</v>
      </c>
      <c r="W189" s="275">
        <f t="shared" si="48"/>
        <v>0</v>
      </c>
      <c r="X189" s="275">
        <f t="shared" si="48"/>
        <v>0</v>
      </c>
      <c r="Y189" s="275">
        <f t="shared" si="48"/>
        <v>0</v>
      </c>
      <c r="Z189" s="267"/>
      <c r="AA189" s="267"/>
    </row>
    <row r="190" spans="4:27" x14ac:dyDescent="0.35">
      <c r="E190" s="32"/>
      <c r="F190" s="192" t="s">
        <v>199</v>
      </c>
      <c r="G190" s="37" t="s">
        <v>269</v>
      </c>
      <c r="H190" s="269"/>
      <c r="I190" s="269"/>
      <c r="J190" s="276">
        <f t="shared" ref="J190:Y190" si="49">hundred * $H27 * J64 / $H52 * J102 * (1 - J76) / hours_in_year</f>
        <v>1.0748816178374958E-2</v>
      </c>
      <c r="K190" s="276">
        <f t="shared" si="49"/>
        <v>1.0748816178374958E-2</v>
      </c>
      <c r="L190" s="276">
        <f t="shared" si="49"/>
        <v>1.233464187973159E-2</v>
      </c>
      <c r="M190" s="276">
        <f t="shared" si="49"/>
        <v>1.233464187973159E-2</v>
      </c>
      <c r="N190" s="276">
        <f t="shared" si="49"/>
        <v>1.0476038488231797E-2</v>
      </c>
      <c r="O190" s="276">
        <f t="shared" si="49"/>
        <v>0</v>
      </c>
      <c r="P190" s="276">
        <f t="shared" si="49"/>
        <v>0</v>
      </c>
      <c r="Q190" s="276">
        <f t="shared" si="49"/>
        <v>7.0790680321807043E-3</v>
      </c>
      <c r="R190" s="276">
        <f t="shared" si="49"/>
        <v>0</v>
      </c>
      <c r="S190" s="276">
        <f t="shared" si="49"/>
        <v>0</v>
      </c>
      <c r="T190" s="276">
        <f t="shared" si="49"/>
        <v>0</v>
      </c>
      <c r="U190" s="276">
        <f t="shared" si="49"/>
        <v>0</v>
      </c>
      <c r="V190" s="276">
        <f t="shared" si="49"/>
        <v>0</v>
      </c>
      <c r="W190" s="276">
        <f t="shared" si="49"/>
        <v>0</v>
      </c>
      <c r="X190" s="276">
        <f t="shared" si="49"/>
        <v>0</v>
      </c>
      <c r="Y190" s="276">
        <f t="shared" si="49"/>
        <v>0</v>
      </c>
      <c r="Z190" s="267"/>
      <c r="AA190" s="267"/>
    </row>
    <row r="191" spans="4:27" x14ac:dyDescent="0.35">
      <c r="E191" s="32"/>
      <c r="F191" s="191"/>
      <c r="J191" s="163"/>
      <c r="K191" s="163"/>
      <c r="L191" s="163"/>
      <c r="M191" s="163"/>
      <c r="N191" s="163"/>
      <c r="O191" s="163"/>
      <c r="P191" s="163"/>
      <c r="Q191" s="163"/>
      <c r="R191" s="163"/>
      <c r="S191" s="163"/>
      <c r="T191" s="163"/>
      <c r="U191" s="163"/>
      <c r="V191" s="163"/>
      <c r="W191" s="163"/>
      <c r="X191" s="163"/>
      <c r="Y191" s="163"/>
    </row>
    <row r="192" spans="4:27" x14ac:dyDescent="0.35">
      <c r="E192" s="32" t="s">
        <v>622</v>
      </c>
      <c r="J192" s="163"/>
      <c r="K192" s="163"/>
      <c r="L192" s="163"/>
      <c r="M192" s="163"/>
      <c r="N192" s="163"/>
      <c r="O192" s="163"/>
      <c r="P192" s="163"/>
      <c r="Q192" s="163"/>
      <c r="R192" s="163"/>
      <c r="S192" s="163"/>
      <c r="T192" s="163"/>
      <c r="U192" s="163"/>
      <c r="V192" s="163"/>
      <c r="W192" s="163"/>
      <c r="X192" s="163"/>
      <c r="Y192" s="163"/>
    </row>
    <row r="193" spans="3:27" x14ac:dyDescent="0.35">
      <c r="D193" s="32"/>
      <c r="E193" s="32"/>
      <c r="F193" s="190" t="s">
        <v>189</v>
      </c>
      <c r="G193" s="23" t="s">
        <v>269</v>
      </c>
      <c r="H193" s="266"/>
      <c r="I193" s="266"/>
      <c r="J193" s="274">
        <f t="shared" ref="J193:Y193" si="50">hundred * $H30 * J55 / $H43 * J93 / hours_in_year</f>
        <v>0.34064433677033723</v>
      </c>
      <c r="K193" s="274">
        <f t="shared" si="50"/>
        <v>0.34064433677033723</v>
      </c>
      <c r="L193" s="274">
        <f t="shared" si="50"/>
        <v>0.39090127067890973</v>
      </c>
      <c r="M193" s="274">
        <f t="shared" si="50"/>
        <v>0.39090127067890973</v>
      </c>
      <c r="N193" s="274">
        <f t="shared" si="50"/>
        <v>0.33199964755037426</v>
      </c>
      <c r="O193" s="274">
        <f t="shared" si="50"/>
        <v>0.27344603842061088</v>
      </c>
      <c r="P193" s="274">
        <f t="shared" si="50"/>
        <v>0.2807576876073935</v>
      </c>
      <c r="Q193" s="274">
        <f t="shared" si="50"/>
        <v>0.23343195232813249</v>
      </c>
      <c r="R193" s="274">
        <f t="shared" si="50"/>
        <v>-0.26333904843020223</v>
      </c>
      <c r="S193" s="274">
        <f t="shared" si="50"/>
        <v>-0.25423360362551822</v>
      </c>
      <c r="T193" s="274">
        <f t="shared" si="50"/>
        <v>-0.26333904843020223</v>
      </c>
      <c r="U193" s="274">
        <f t="shared" si="50"/>
        <v>-0.26333904843020223</v>
      </c>
      <c r="V193" s="274">
        <f t="shared" si="50"/>
        <v>-0.25423360362551822</v>
      </c>
      <c r="W193" s="274">
        <f t="shared" si="50"/>
        <v>-0.25423360362551822</v>
      </c>
      <c r="X193" s="274">
        <f t="shared" si="50"/>
        <v>-0.2484827963804547</v>
      </c>
      <c r="Y193" s="274">
        <f t="shared" si="50"/>
        <v>-0.2484827963804547</v>
      </c>
      <c r="Z193" s="267"/>
      <c r="AA193" s="267"/>
    </row>
    <row r="194" spans="3:27" x14ac:dyDescent="0.35">
      <c r="D194" s="32"/>
      <c r="E194" s="32"/>
      <c r="F194" s="191" t="s">
        <v>191</v>
      </c>
      <c r="G194" t="s">
        <v>269</v>
      </c>
      <c r="H194" s="267"/>
      <c r="I194" s="267"/>
      <c r="J194" s="275">
        <f t="shared" ref="J194:Y194" si="51">hundred * $H31 * J56 / $H44 * J94 / hours_in_year</f>
        <v>0</v>
      </c>
      <c r="K194" s="275">
        <f t="shared" si="51"/>
        <v>0</v>
      </c>
      <c r="L194" s="275">
        <f t="shared" si="51"/>
        <v>0</v>
      </c>
      <c r="M194" s="275">
        <f t="shared" si="51"/>
        <v>0</v>
      </c>
      <c r="N194" s="275">
        <f t="shared" si="51"/>
        <v>0</v>
      </c>
      <c r="O194" s="275">
        <f t="shared" si="51"/>
        <v>0</v>
      </c>
      <c r="P194" s="275">
        <f t="shared" si="51"/>
        <v>0</v>
      </c>
      <c r="Q194" s="275">
        <f t="shared" si="51"/>
        <v>0</v>
      </c>
      <c r="R194" s="275">
        <f t="shared" si="51"/>
        <v>0</v>
      </c>
      <c r="S194" s="275">
        <f t="shared" si="51"/>
        <v>0</v>
      </c>
      <c r="T194" s="275">
        <f t="shared" si="51"/>
        <v>0</v>
      </c>
      <c r="U194" s="275">
        <f t="shared" si="51"/>
        <v>0</v>
      </c>
      <c r="V194" s="275">
        <f t="shared" si="51"/>
        <v>0</v>
      </c>
      <c r="W194" s="275">
        <f t="shared" si="51"/>
        <v>0</v>
      </c>
      <c r="X194" s="275">
        <f t="shared" si="51"/>
        <v>0</v>
      </c>
      <c r="Y194" s="275">
        <f t="shared" si="51"/>
        <v>0</v>
      </c>
      <c r="Z194" s="267"/>
      <c r="AA194" s="267"/>
    </row>
    <row r="195" spans="3:27" x14ac:dyDescent="0.35">
      <c r="D195" s="32"/>
      <c r="E195" s="32"/>
      <c r="F195" s="191" t="s">
        <v>192</v>
      </c>
      <c r="G195" t="s">
        <v>269</v>
      </c>
      <c r="H195" s="267"/>
      <c r="I195" s="267"/>
      <c r="J195" s="275">
        <f t="shared" ref="J195:Y195" si="52">hundred * $H32 * J57 / $H45 * J95 / hours_in_year</f>
        <v>0</v>
      </c>
      <c r="K195" s="275">
        <f t="shared" si="52"/>
        <v>0</v>
      </c>
      <c r="L195" s="275">
        <f t="shared" si="52"/>
        <v>0</v>
      </c>
      <c r="M195" s="275">
        <f t="shared" si="52"/>
        <v>0</v>
      </c>
      <c r="N195" s="275">
        <f t="shared" si="52"/>
        <v>0</v>
      </c>
      <c r="O195" s="275">
        <f t="shared" si="52"/>
        <v>0</v>
      </c>
      <c r="P195" s="275">
        <f t="shared" si="52"/>
        <v>0</v>
      </c>
      <c r="Q195" s="275">
        <f t="shared" si="52"/>
        <v>0</v>
      </c>
      <c r="R195" s="275">
        <f t="shared" si="52"/>
        <v>0</v>
      </c>
      <c r="S195" s="275">
        <f t="shared" si="52"/>
        <v>0</v>
      </c>
      <c r="T195" s="275">
        <f t="shared" si="52"/>
        <v>0</v>
      </c>
      <c r="U195" s="275">
        <f t="shared" si="52"/>
        <v>0</v>
      </c>
      <c r="V195" s="275">
        <f t="shared" si="52"/>
        <v>0</v>
      </c>
      <c r="W195" s="275">
        <f t="shared" si="52"/>
        <v>0</v>
      </c>
      <c r="X195" s="275">
        <f t="shared" si="52"/>
        <v>0</v>
      </c>
      <c r="Y195" s="275">
        <f t="shared" si="52"/>
        <v>0</v>
      </c>
      <c r="Z195" s="267"/>
      <c r="AA195" s="267"/>
    </row>
    <row r="196" spans="3:27" x14ac:dyDescent="0.35">
      <c r="D196" s="32"/>
      <c r="E196" s="32"/>
      <c r="F196" s="191" t="s">
        <v>193</v>
      </c>
      <c r="G196" t="s">
        <v>269</v>
      </c>
      <c r="H196" s="267"/>
      <c r="I196" s="267"/>
      <c r="J196" s="275">
        <f t="shared" ref="J196:Y196" si="53">hundred * $H33 * J58 / $H46 * J96 / hours_in_year</f>
        <v>0</v>
      </c>
      <c r="K196" s="275">
        <f t="shared" si="53"/>
        <v>0</v>
      </c>
      <c r="L196" s="275">
        <f t="shared" si="53"/>
        <v>0</v>
      </c>
      <c r="M196" s="275">
        <f t="shared" si="53"/>
        <v>0</v>
      </c>
      <c r="N196" s="275">
        <f t="shared" si="53"/>
        <v>0</v>
      </c>
      <c r="O196" s="275">
        <f t="shared" si="53"/>
        <v>0</v>
      </c>
      <c r="P196" s="275">
        <f t="shared" si="53"/>
        <v>0</v>
      </c>
      <c r="Q196" s="275">
        <f t="shared" si="53"/>
        <v>0</v>
      </c>
      <c r="R196" s="275">
        <f t="shared" si="53"/>
        <v>0</v>
      </c>
      <c r="S196" s="275">
        <f t="shared" si="53"/>
        <v>0</v>
      </c>
      <c r="T196" s="275">
        <f t="shared" si="53"/>
        <v>0</v>
      </c>
      <c r="U196" s="275">
        <f t="shared" si="53"/>
        <v>0</v>
      </c>
      <c r="V196" s="275">
        <f t="shared" si="53"/>
        <v>0</v>
      </c>
      <c r="W196" s="275">
        <f t="shared" si="53"/>
        <v>0</v>
      </c>
      <c r="X196" s="275">
        <f t="shared" si="53"/>
        <v>0</v>
      </c>
      <c r="Y196" s="275">
        <f t="shared" si="53"/>
        <v>0</v>
      </c>
      <c r="Z196" s="267"/>
      <c r="AA196" s="267"/>
    </row>
    <row r="197" spans="3:27" x14ac:dyDescent="0.35">
      <c r="D197" s="32"/>
      <c r="E197" s="32"/>
      <c r="F197" s="191" t="s">
        <v>194</v>
      </c>
      <c r="G197" t="s">
        <v>269</v>
      </c>
      <c r="H197" s="267"/>
      <c r="I197" s="267"/>
      <c r="J197" s="275">
        <f t="shared" ref="J197:Y197" si="54">hundred * $H34 * J59 / $H47 * J97 / hours_in_year</f>
        <v>0.12509192695156104</v>
      </c>
      <c r="K197" s="275">
        <f t="shared" si="54"/>
        <v>0.12509192695156104</v>
      </c>
      <c r="L197" s="275">
        <f t="shared" si="54"/>
        <v>0.14354735399580723</v>
      </c>
      <c r="M197" s="275">
        <f t="shared" si="54"/>
        <v>0.14354735399580723</v>
      </c>
      <c r="N197" s="275">
        <f t="shared" si="54"/>
        <v>0.12191741114227103</v>
      </c>
      <c r="O197" s="275">
        <f t="shared" si="54"/>
        <v>0.10041526651407821</v>
      </c>
      <c r="P197" s="275">
        <f t="shared" si="54"/>
        <v>0.10310026135250727</v>
      </c>
      <c r="Q197" s="275">
        <f t="shared" si="54"/>
        <v>8.4877282138081989E-2</v>
      </c>
      <c r="R197" s="275">
        <f t="shared" si="54"/>
        <v>-9.6703762411097155E-2</v>
      </c>
      <c r="S197" s="275">
        <f t="shared" si="54"/>
        <v>-9.3360047241286714E-2</v>
      </c>
      <c r="T197" s="275">
        <f t="shared" si="54"/>
        <v>-9.6703762411097155E-2</v>
      </c>
      <c r="U197" s="275">
        <f t="shared" si="54"/>
        <v>-9.6703762411097155E-2</v>
      </c>
      <c r="V197" s="275">
        <f t="shared" si="54"/>
        <v>-9.3360047241286714E-2</v>
      </c>
      <c r="W197" s="275">
        <f t="shared" si="54"/>
        <v>-9.3360047241286714E-2</v>
      </c>
      <c r="X197" s="275">
        <f t="shared" si="54"/>
        <v>-9.1248227134038004E-2</v>
      </c>
      <c r="Y197" s="275">
        <f t="shared" si="54"/>
        <v>-9.1248227134038004E-2</v>
      </c>
      <c r="Z197" s="267"/>
      <c r="AA197" s="267"/>
    </row>
    <row r="198" spans="3:27" x14ac:dyDescent="0.35">
      <c r="D198" s="32"/>
      <c r="E198" s="32"/>
      <c r="F198" s="191" t="s">
        <v>195</v>
      </c>
      <c r="G198" t="s">
        <v>269</v>
      </c>
      <c r="H198" s="267"/>
      <c r="I198" s="267"/>
      <c r="J198" s="275">
        <f t="shared" ref="J198:Y198" si="55">hundred * $H35 * J60 / $H48 * J98 / hours_in_year</f>
        <v>0.11318271332955603</v>
      </c>
      <c r="K198" s="275">
        <f t="shared" si="55"/>
        <v>0.11318271332955603</v>
      </c>
      <c r="L198" s="275">
        <f t="shared" si="55"/>
        <v>0.12988111553206028</v>
      </c>
      <c r="M198" s="275">
        <f t="shared" si="55"/>
        <v>0.12988111553206028</v>
      </c>
      <c r="N198" s="275">
        <f t="shared" si="55"/>
        <v>0.11031042315417046</v>
      </c>
      <c r="O198" s="275">
        <f t="shared" si="55"/>
        <v>9.0855362138396151E-2</v>
      </c>
      <c r="P198" s="275">
        <f t="shared" si="55"/>
        <v>9.3284735547976227E-2</v>
      </c>
      <c r="Q198" s="275">
        <f t="shared" si="55"/>
        <v>7.679665128307063E-2</v>
      </c>
      <c r="R198" s="275">
        <f t="shared" si="55"/>
        <v>-8.7497206938885658E-2</v>
      </c>
      <c r="S198" s="275">
        <f t="shared" si="55"/>
        <v>-8.447182580724083E-2</v>
      </c>
      <c r="T198" s="275">
        <f t="shared" si="55"/>
        <v>-8.7497206938885658E-2</v>
      </c>
      <c r="U198" s="275">
        <f t="shared" si="55"/>
        <v>-8.7497206938885658E-2</v>
      </c>
      <c r="V198" s="275">
        <f t="shared" si="55"/>
        <v>-8.447182580724083E-2</v>
      </c>
      <c r="W198" s="275">
        <f t="shared" si="55"/>
        <v>-8.447182580724083E-2</v>
      </c>
      <c r="X198" s="275">
        <f t="shared" si="55"/>
        <v>-8.2561058776728313E-2</v>
      </c>
      <c r="Y198" s="275">
        <f t="shared" si="55"/>
        <v>-8.2561058776728313E-2</v>
      </c>
      <c r="Z198" s="267"/>
      <c r="AA198" s="267"/>
    </row>
    <row r="199" spans="3:27" x14ac:dyDescent="0.35">
      <c r="D199" s="32"/>
      <c r="E199" s="32"/>
      <c r="F199" s="191" t="s">
        <v>196</v>
      </c>
      <c r="G199" t="s">
        <v>269</v>
      </c>
      <c r="H199" s="267"/>
      <c r="I199" s="267"/>
      <c r="J199" s="275">
        <f t="shared" ref="J199:Y199" si="56">hundred * $H36 * J61 / $H49 * J99 / hours_in_year</f>
        <v>0</v>
      </c>
      <c r="K199" s="275">
        <f t="shared" si="56"/>
        <v>0</v>
      </c>
      <c r="L199" s="275">
        <f t="shared" si="56"/>
        <v>0</v>
      </c>
      <c r="M199" s="275">
        <f t="shared" si="56"/>
        <v>0</v>
      </c>
      <c r="N199" s="275">
        <f t="shared" si="56"/>
        <v>0</v>
      </c>
      <c r="O199" s="275">
        <f t="shared" si="56"/>
        <v>0</v>
      </c>
      <c r="P199" s="275">
        <f t="shared" si="56"/>
        <v>0</v>
      </c>
      <c r="Q199" s="275">
        <f t="shared" si="56"/>
        <v>0</v>
      </c>
      <c r="R199" s="275">
        <f t="shared" si="56"/>
        <v>0</v>
      </c>
      <c r="S199" s="275">
        <f t="shared" si="56"/>
        <v>0</v>
      </c>
      <c r="T199" s="275">
        <f t="shared" si="56"/>
        <v>0</v>
      </c>
      <c r="U199" s="275">
        <f t="shared" si="56"/>
        <v>0</v>
      </c>
      <c r="V199" s="275">
        <f t="shared" si="56"/>
        <v>0</v>
      </c>
      <c r="W199" s="275">
        <f t="shared" si="56"/>
        <v>0</v>
      </c>
      <c r="X199" s="275">
        <f t="shared" si="56"/>
        <v>0</v>
      </c>
      <c r="Y199" s="275">
        <f t="shared" si="56"/>
        <v>0</v>
      </c>
      <c r="Z199" s="267"/>
      <c r="AA199" s="267"/>
    </row>
    <row r="200" spans="3:27" x14ac:dyDescent="0.35">
      <c r="D200" s="32"/>
      <c r="E200" s="32"/>
      <c r="F200" s="191" t="s">
        <v>197</v>
      </c>
      <c r="G200" t="s">
        <v>269</v>
      </c>
      <c r="H200" s="267"/>
      <c r="I200" s="267"/>
      <c r="J200" s="275">
        <f t="shared" ref="J200:Y200" si="57">hundred * $H37 * J62 / $H50 * J100 / hours_in_year</f>
        <v>0.50192168932205206</v>
      </c>
      <c r="K200" s="275">
        <f t="shared" si="57"/>
        <v>0.50192168932205206</v>
      </c>
      <c r="L200" s="275">
        <f t="shared" si="57"/>
        <v>0.57597266403279312</v>
      </c>
      <c r="M200" s="275">
        <f t="shared" si="57"/>
        <v>0.57597266403279312</v>
      </c>
      <c r="N200" s="275">
        <f t="shared" si="57"/>
        <v>0.48918418997570817</v>
      </c>
      <c r="O200" s="275">
        <f t="shared" si="57"/>
        <v>0.40290849642108939</v>
      </c>
      <c r="P200" s="275">
        <f t="shared" si="57"/>
        <v>0.41368183070386177</v>
      </c>
      <c r="Q200" s="275">
        <f t="shared" si="57"/>
        <v>0.33056084749930564</v>
      </c>
      <c r="R200" s="275">
        <f t="shared" si="57"/>
        <v>-0.38801637304677022</v>
      </c>
      <c r="S200" s="275">
        <f t="shared" si="57"/>
        <v>-0.37459997434269626</v>
      </c>
      <c r="T200" s="275">
        <f t="shared" si="57"/>
        <v>-0.38801637304677022</v>
      </c>
      <c r="U200" s="275">
        <f t="shared" si="57"/>
        <v>-0.38801637304677022</v>
      </c>
      <c r="V200" s="275">
        <f t="shared" si="57"/>
        <v>-0.37459997434269626</v>
      </c>
      <c r="W200" s="275">
        <f t="shared" si="57"/>
        <v>-0.37459997434269626</v>
      </c>
      <c r="X200" s="275">
        <f t="shared" si="57"/>
        <v>0</v>
      </c>
      <c r="Y200" s="275">
        <f t="shared" si="57"/>
        <v>0</v>
      </c>
      <c r="Z200" s="267"/>
      <c r="AA200" s="267"/>
    </row>
    <row r="201" spans="3:27" x14ac:dyDescent="0.35">
      <c r="D201" s="32"/>
      <c r="E201" s="32"/>
      <c r="F201" s="191" t="s">
        <v>198</v>
      </c>
      <c r="G201" t="s">
        <v>269</v>
      </c>
      <c r="H201" s="267"/>
      <c r="I201" s="267"/>
      <c r="J201" s="275">
        <f t="shared" ref="J201:Y201" si="58">hundred * $H38 * J63 / $H51 * J101 / hours_in_year</f>
        <v>0.12154112319789695</v>
      </c>
      <c r="K201" s="275">
        <f t="shared" si="58"/>
        <v>0.12154112319789695</v>
      </c>
      <c r="L201" s="275">
        <f t="shared" si="58"/>
        <v>0.13947268270551499</v>
      </c>
      <c r="M201" s="275">
        <f t="shared" si="58"/>
        <v>0.13947268270551499</v>
      </c>
      <c r="N201" s="275">
        <f t="shared" si="58"/>
        <v>0.11845671778123087</v>
      </c>
      <c r="O201" s="275">
        <f t="shared" si="58"/>
        <v>9.7564923458755087E-2</v>
      </c>
      <c r="P201" s="275">
        <f t="shared" si="58"/>
        <v>0</v>
      </c>
      <c r="Q201" s="275">
        <f t="shared" si="58"/>
        <v>8.0045826958745778E-2</v>
      </c>
      <c r="R201" s="275">
        <f t="shared" si="58"/>
        <v>-9.3958772459061896E-2</v>
      </c>
      <c r="S201" s="275">
        <f t="shared" si="58"/>
        <v>0</v>
      </c>
      <c r="T201" s="275">
        <f t="shared" si="58"/>
        <v>-9.3958772459061896E-2</v>
      </c>
      <c r="U201" s="275">
        <f t="shared" si="58"/>
        <v>-9.3958772459061896E-2</v>
      </c>
      <c r="V201" s="275">
        <f t="shared" si="58"/>
        <v>0</v>
      </c>
      <c r="W201" s="275">
        <f t="shared" si="58"/>
        <v>0</v>
      </c>
      <c r="X201" s="275">
        <f t="shared" si="58"/>
        <v>0</v>
      </c>
      <c r="Y201" s="275">
        <f t="shared" si="58"/>
        <v>0</v>
      </c>
      <c r="Z201" s="267"/>
      <c r="AA201" s="267"/>
    </row>
    <row r="202" spans="3:27" x14ac:dyDescent="0.35">
      <c r="D202" s="32"/>
      <c r="E202" s="32"/>
      <c r="F202" s="192" t="s">
        <v>199</v>
      </c>
      <c r="G202" s="37" t="s">
        <v>269</v>
      </c>
      <c r="H202" s="269"/>
      <c r="I202" s="269"/>
      <c r="J202" s="276">
        <f t="shared" ref="J202:Y202" si="59">hundred * $H39 * J64 / $H52 * J102 / hours_in_year</f>
        <v>0.28851541008745929</v>
      </c>
      <c r="K202" s="276">
        <f t="shared" si="59"/>
        <v>0.28851541008745929</v>
      </c>
      <c r="L202" s="276">
        <f t="shared" si="59"/>
        <v>0.3310815071312096</v>
      </c>
      <c r="M202" s="276">
        <f t="shared" si="59"/>
        <v>0.3310815071312096</v>
      </c>
      <c r="N202" s="276">
        <f t="shared" si="59"/>
        <v>0.28119362080124027</v>
      </c>
      <c r="O202" s="276">
        <f t="shared" si="59"/>
        <v>0</v>
      </c>
      <c r="P202" s="276">
        <f t="shared" si="59"/>
        <v>0</v>
      </c>
      <c r="Q202" s="276">
        <f t="shared" si="59"/>
        <v>0.190013503110295</v>
      </c>
      <c r="R202" s="276">
        <f t="shared" si="59"/>
        <v>0</v>
      </c>
      <c r="S202" s="276">
        <f t="shared" si="59"/>
        <v>0</v>
      </c>
      <c r="T202" s="276">
        <f t="shared" si="59"/>
        <v>0</v>
      </c>
      <c r="U202" s="276">
        <f t="shared" si="59"/>
        <v>0</v>
      </c>
      <c r="V202" s="276">
        <f t="shared" si="59"/>
        <v>0</v>
      </c>
      <c r="W202" s="276">
        <f t="shared" si="59"/>
        <v>0</v>
      </c>
      <c r="X202" s="276">
        <f t="shared" si="59"/>
        <v>0</v>
      </c>
      <c r="Y202" s="276">
        <f t="shared" si="59"/>
        <v>0</v>
      </c>
      <c r="Z202" s="267"/>
      <c r="AA202" s="267"/>
    </row>
    <row r="203" spans="3:27" x14ac:dyDescent="0.3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3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3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35">
      <c r="C206" s="29" t="s">
        <v>627</v>
      </c>
      <c r="D206" s="32"/>
      <c r="E206" s="32"/>
      <c r="I206" s="3" t="s">
        <v>154</v>
      </c>
      <c r="J206" s="163"/>
      <c r="K206" s="163"/>
      <c r="L206" s="163"/>
      <c r="M206" s="163"/>
      <c r="N206" s="163"/>
      <c r="O206" s="163"/>
      <c r="P206" s="163"/>
      <c r="Q206" s="163"/>
      <c r="R206" s="163"/>
      <c r="S206" s="163"/>
      <c r="T206" s="163"/>
      <c r="U206" s="163"/>
      <c r="V206" s="163"/>
      <c r="W206" s="163"/>
      <c r="X206" s="163"/>
      <c r="Y206" s="163"/>
      <c r="AA206" t="s">
        <v>625</v>
      </c>
    </row>
    <row r="207" spans="3:27" x14ac:dyDescent="0.35">
      <c r="C207" s="29" t="s">
        <v>628</v>
      </c>
      <c r="D207" s="32"/>
      <c r="E207" s="32"/>
      <c r="J207" s="163"/>
      <c r="K207" s="163"/>
      <c r="L207" s="163"/>
      <c r="M207" s="163"/>
      <c r="N207" s="163"/>
      <c r="O207" s="163"/>
      <c r="P207" s="163"/>
      <c r="Q207" s="163"/>
      <c r="R207" s="163"/>
      <c r="S207" s="163"/>
      <c r="T207" s="163"/>
      <c r="U207" s="163"/>
      <c r="V207" s="163"/>
      <c r="W207" s="163"/>
      <c r="X207" s="163"/>
      <c r="Y207" s="163"/>
    </row>
    <row r="208" spans="3:27" x14ac:dyDescent="0.35">
      <c r="C208" s="32"/>
      <c r="D208" s="32"/>
      <c r="E208" s="32"/>
    </row>
    <row r="209" spans="3:27" x14ac:dyDescent="0.35">
      <c r="E209" s="32" t="s">
        <v>621</v>
      </c>
      <c r="J209" s="163"/>
      <c r="K209" s="163"/>
      <c r="L209" s="163"/>
      <c r="M209" s="163"/>
      <c r="N209" s="163"/>
      <c r="O209" s="163"/>
      <c r="P209" s="163"/>
      <c r="Q209" s="163"/>
      <c r="R209" s="163"/>
      <c r="S209" s="163"/>
      <c r="T209" s="163"/>
      <c r="U209" s="163"/>
      <c r="V209" s="163"/>
      <c r="W209" s="163"/>
      <c r="X209" s="163"/>
      <c r="Y209" s="163"/>
    </row>
    <row r="210" spans="3:27" x14ac:dyDescent="0.35">
      <c r="E210" s="32"/>
      <c r="F210" s="190" t="s">
        <v>189</v>
      </c>
      <c r="G210" s="23" t="s">
        <v>269</v>
      </c>
      <c r="H210" s="266"/>
      <c r="I210" s="266"/>
      <c r="J210" s="274">
        <f t="shared" ref="J210:Y210" si="60">hundred * $H18 * J55 / $H43 * J105 * (1 - J67) / hours_in_year</f>
        <v>0</v>
      </c>
      <c r="K210" s="274">
        <f t="shared" si="60"/>
        <v>0</v>
      </c>
      <c r="L210" s="274">
        <f t="shared" si="60"/>
        <v>0</v>
      </c>
      <c r="M210" s="274">
        <f t="shared" si="60"/>
        <v>0</v>
      </c>
      <c r="N210" s="274">
        <f t="shared" si="60"/>
        <v>0</v>
      </c>
      <c r="O210" s="274">
        <f t="shared" si="60"/>
        <v>0</v>
      </c>
      <c r="P210" s="274">
        <f t="shared" si="60"/>
        <v>0</v>
      </c>
      <c r="Q210" s="274">
        <f t="shared" si="60"/>
        <v>0</v>
      </c>
      <c r="R210" s="274">
        <f t="shared" si="60"/>
        <v>0</v>
      </c>
      <c r="S210" s="274">
        <f t="shared" si="60"/>
        <v>0</v>
      </c>
      <c r="T210" s="274">
        <f t="shared" si="60"/>
        <v>0</v>
      </c>
      <c r="U210" s="274">
        <f t="shared" si="60"/>
        <v>0</v>
      </c>
      <c r="V210" s="274">
        <f t="shared" si="60"/>
        <v>0</v>
      </c>
      <c r="W210" s="274">
        <f t="shared" si="60"/>
        <v>0</v>
      </c>
      <c r="X210" s="274">
        <f t="shared" si="60"/>
        <v>0</v>
      </c>
      <c r="Y210" s="274">
        <f t="shared" si="60"/>
        <v>0</v>
      </c>
      <c r="Z210" s="267"/>
      <c r="AA210" s="267"/>
    </row>
    <row r="211" spans="3:27" x14ac:dyDescent="0.35">
      <c r="E211" s="32"/>
      <c r="F211" s="191" t="s">
        <v>191</v>
      </c>
      <c r="G211" t="s">
        <v>269</v>
      </c>
      <c r="H211" s="267"/>
      <c r="I211" s="267"/>
      <c r="J211" s="275">
        <f t="shared" ref="J211:Y211" si="61">hundred * $H19 * J56 / $H44 * J106 * (1 - J68) / hours_in_year</f>
        <v>0</v>
      </c>
      <c r="K211" s="275">
        <f t="shared" si="61"/>
        <v>0</v>
      </c>
      <c r="L211" s="275">
        <f t="shared" si="61"/>
        <v>0</v>
      </c>
      <c r="M211" s="275">
        <f t="shared" si="61"/>
        <v>0</v>
      </c>
      <c r="N211" s="275">
        <f t="shared" si="61"/>
        <v>0</v>
      </c>
      <c r="O211" s="275">
        <f t="shared" si="61"/>
        <v>0</v>
      </c>
      <c r="P211" s="275">
        <f t="shared" si="61"/>
        <v>0</v>
      </c>
      <c r="Q211" s="275">
        <f t="shared" si="61"/>
        <v>0</v>
      </c>
      <c r="R211" s="275">
        <f t="shared" si="61"/>
        <v>0</v>
      </c>
      <c r="S211" s="275">
        <f t="shared" si="61"/>
        <v>0</v>
      </c>
      <c r="T211" s="275">
        <f t="shared" si="61"/>
        <v>0</v>
      </c>
      <c r="U211" s="275">
        <f t="shared" si="61"/>
        <v>0</v>
      </c>
      <c r="V211" s="275">
        <f t="shared" si="61"/>
        <v>0</v>
      </c>
      <c r="W211" s="275">
        <f t="shared" si="61"/>
        <v>0</v>
      </c>
      <c r="X211" s="275">
        <f t="shared" si="61"/>
        <v>0</v>
      </c>
      <c r="Y211" s="275">
        <f t="shared" si="61"/>
        <v>0</v>
      </c>
      <c r="Z211" s="267"/>
      <c r="AA211" s="267"/>
    </row>
    <row r="212" spans="3:27" x14ac:dyDescent="0.35">
      <c r="E212" s="32"/>
      <c r="F212" s="191" t="s">
        <v>192</v>
      </c>
      <c r="G212" t="s">
        <v>269</v>
      </c>
      <c r="H212" s="267"/>
      <c r="I212" s="267"/>
      <c r="J212" s="275">
        <f t="shared" ref="J212:Y212" si="62">hundred * $H20 * J57 / $H45 * J107 * (1 - J69) / hours_in_year</f>
        <v>0</v>
      </c>
      <c r="K212" s="275">
        <f t="shared" si="62"/>
        <v>0</v>
      </c>
      <c r="L212" s="275">
        <f t="shared" si="62"/>
        <v>0</v>
      </c>
      <c r="M212" s="275">
        <f t="shared" si="62"/>
        <v>0</v>
      </c>
      <c r="N212" s="275">
        <f t="shared" si="62"/>
        <v>0</v>
      </c>
      <c r="O212" s="275">
        <f t="shared" si="62"/>
        <v>0</v>
      </c>
      <c r="P212" s="275">
        <f t="shared" si="62"/>
        <v>0</v>
      </c>
      <c r="Q212" s="275">
        <f t="shared" si="62"/>
        <v>0</v>
      </c>
      <c r="R212" s="275">
        <f t="shared" si="62"/>
        <v>0</v>
      </c>
      <c r="S212" s="275">
        <f t="shared" si="62"/>
        <v>0</v>
      </c>
      <c r="T212" s="275">
        <f t="shared" si="62"/>
        <v>0</v>
      </c>
      <c r="U212" s="275">
        <f t="shared" si="62"/>
        <v>0</v>
      </c>
      <c r="V212" s="275">
        <f t="shared" si="62"/>
        <v>0</v>
      </c>
      <c r="W212" s="275">
        <f t="shared" si="62"/>
        <v>0</v>
      </c>
      <c r="X212" s="275">
        <f t="shared" si="62"/>
        <v>0</v>
      </c>
      <c r="Y212" s="275">
        <f t="shared" si="62"/>
        <v>0</v>
      </c>
      <c r="Z212" s="267"/>
      <c r="AA212" s="267"/>
    </row>
    <row r="213" spans="3:27" x14ac:dyDescent="0.35">
      <c r="E213" s="32"/>
      <c r="F213" s="191" t="s">
        <v>193</v>
      </c>
      <c r="G213" t="s">
        <v>269</v>
      </c>
      <c r="H213" s="267"/>
      <c r="I213" s="267"/>
      <c r="J213" s="275">
        <f t="shared" ref="J213:Y213" si="63">hundred * $H21 * J58 / $H46 * J108 * (1 - J70) / hours_in_year</f>
        <v>0</v>
      </c>
      <c r="K213" s="275">
        <f t="shared" si="63"/>
        <v>0</v>
      </c>
      <c r="L213" s="275">
        <f t="shared" si="63"/>
        <v>0</v>
      </c>
      <c r="M213" s="275">
        <f t="shared" si="63"/>
        <v>0</v>
      </c>
      <c r="N213" s="275">
        <f t="shared" si="63"/>
        <v>0</v>
      </c>
      <c r="O213" s="275">
        <f t="shared" si="63"/>
        <v>0</v>
      </c>
      <c r="P213" s="275">
        <f t="shared" si="63"/>
        <v>0</v>
      </c>
      <c r="Q213" s="275">
        <f t="shared" si="63"/>
        <v>0</v>
      </c>
      <c r="R213" s="275">
        <f t="shared" si="63"/>
        <v>0</v>
      </c>
      <c r="S213" s="275">
        <f t="shared" si="63"/>
        <v>0</v>
      </c>
      <c r="T213" s="275">
        <f t="shared" si="63"/>
        <v>0</v>
      </c>
      <c r="U213" s="275">
        <f t="shared" si="63"/>
        <v>0</v>
      </c>
      <c r="V213" s="275">
        <f t="shared" si="63"/>
        <v>0</v>
      </c>
      <c r="W213" s="275">
        <f t="shared" si="63"/>
        <v>0</v>
      </c>
      <c r="X213" s="275">
        <f t="shared" si="63"/>
        <v>0</v>
      </c>
      <c r="Y213" s="275">
        <f t="shared" si="63"/>
        <v>0</v>
      </c>
      <c r="Z213" s="267"/>
      <c r="AA213" s="267"/>
    </row>
    <row r="214" spans="3:27" x14ac:dyDescent="0.35">
      <c r="E214" s="32"/>
      <c r="F214" s="191" t="s">
        <v>194</v>
      </c>
      <c r="G214" t="s">
        <v>269</v>
      </c>
      <c r="H214" s="267"/>
      <c r="I214" s="267"/>
      <c r="J214" s="275">
        <f t="shared" ref="J214:Y214" si="64">hundred * $H22 * J59 / $H47 * J109 * (1 - J71) / hours_in_year</f>
        <v>4.4131782258333044E-2</v>
      </c>
      <c r="K214" s="275">
        <f t="shared" si="64"/>
        <v>4.4131782258333044E-2</v>
      </c>
      <c r="L214" s="275">
        <f t="shared" si="64"/>
        <v>5.0642761085260932E-2</v>
      </c>
      <c r="M214" s="275">
        <f t="shared" si="64"/>
        <v>5.0642761085260932E-2</v>
      </c>
      <c r="N214" s="275">
        <f t="shared" si="64"/>
        <v>4.3011829565258994E-2</v>
      </c>
      <c r="O214" s="275">
        <f t="shared" si="64"/>
        <v>3.5425984595534907E-2</v>
      </c>
      <c r="P214" s="275">
        <f t="shared" si="64"/>
        <v>3.6180526890037479E-2</v>
      </c>
      <c r="Q214" s="275">
        <f t="shared" si="64"/>
        <v>2.6946876016651473E-2</v>
      </c>
      <c r="R214" s="275">
        <f t="shared" si="64"/>
        <v>-3.4116585220888659E-2</v>
      </c>
      <c r="S214" s="275">
        <f t="shared" si="64"/>
        <v>-3.2936939872031723E-2</v>
      </c>
      <c r="T214" s="275">
        <f t="shared" si="64"/>
        <v>-3.4116585220888659E-2</v>
      </c>
      <c r="U214" s="275">
        <f t="shared" si="64"/>
        <v>-3.4116585220888659E-2</v>
      </c>
      <c r="V214" s="275">
        <f t="shared" si="64"/>
        <v>-3.2936939872031723E-2</v>
      </c>
      <c r="W214" s="275">
        <f t="shared" si="64"/>
        <v>-3.2936939872031723E-2</v>
      </c>
      <c r="X214" s="275">
        <f t="shared" si="64"/>
        <v>-3.2021344002257687E-2</v>
      </c>
      <c r="Y214" s="275">
        <f t="shared" si="64"/>
        <v>-3.2021344002257687E-2</v>
      </c>
      <c r="Z214" s="267"/>
      <c r="AA214" s="267"/>
    </row>
    <row r="215" spans="3:27" x14ac:dyDescent="0.35">
      <c r="E215" s="32"/>
      <c r="F215" s="191" t="s">
        <v>195</v>
      </c>
      <c r="G215" t="s">
        <v>269</v>
      </c>
      <c r="H215" s="267"/>
      <c r="I215" s="267"/>
      <c r="J215" s="275">
        <f t="shared" ref="J215:Y215" si="65">hundred * $H23 * J60 / $H48 * J110 * (1 - J72) / hours_in_year</f>
        <v>4.0021587054037876E-2</v>
      </c>
      <c r="K215" s="275">
        <f t="shared" si="65"/>
        <v>4.0021587054037876E-2</v>
      </c>
      <c r="L215" s="275">
        <f t="shared" si="65"/>
        <v>4.5926168573169446E-2</v>
      </c>
      <c r="M215" s="275">
        <f t="shared" si="65"/>
        <v>4.5926168573169446E-2</v>
      </c>
      <c r="N215" s="275">
        <f t="shared" si="65"/>
        <v>3.9005940689703616E-2</v>
      </c>
      <c r="O215" s="275">
        <f t="shared" si="65"/>
        <v>3.2126600239388542E-2</v>
      </c>
      <c r="P215" s="275">
        <f t="shared" si="65"/>
        <v>3.2872843844581175E-2</v>
      </c>
      <c r="Q215" s="275">
        <f t="shared" si="65"/>
        <v>2.4437189915010652E-2</v>
      </c>
      <c r="R215" s="275">
        <f t="shared" si="65"/>
        <v>-3.0939151231457011E-2</v>
      </c>
      <c r="S215" s="275">
        <f t="shared" si="65"/>
        <v>-2.9869371662034478E-2</v>
      </c>
      <c r="T215" s="275">
        <f t="shared" si="65"/>
        <v>-3.0939151231457011E-2</v>
      </c>
      <c r="U215" s="275">
        <f t="shared" si="65"/>
        <v>-3.0939151231457011E-2</v>
      </c>
      <c r="V215" s="275">
        <f t="shared" si="65"/>
        <v>-2.9869371662034478E-2</v>
      </c>
      <c r="W215" s="275">
        <f t="shared" si="65"/>
        <v>-2.9869371662034478E-2</v>
      </c>
      <c r="X215" s="275">
        <f t="shared" si="65"/>
        <v>-2.9093900270691787E-2</v>
      </c>
      <c r="Y215" s="275">
        <f t="shared" si="65"/>
        <v>-2.9093900270691787E-2</v>
      </c>
      <c r="Z215" s="267"/>
      <c r="AA215" s="267"/>
    </row>
    <row r="216" spans="3:27" x14ac:dyDescent="0.35">
      <c r="E216" s="32"/>
      <c r="F216" s="191" t="s">
        <v>196</v>
      </c>
      <c r="G216" t="s">
        <v>269</v>
      </c>
      <c r="H216" s="267"/>
      <c r="I216" s="267"/>
      <c r="J216" s="275">
        <f t="shared" ref="J216:Y216" si="66">hundred * $H24 * J61 / $H49 * J111 * (1 - J73) / hours_in_year</f>
        <v>0</v>
      </c>
      <c r="K216" s="275">
        <f t="shared" si="66"/>
        <v>0</v>
      </c>
      <c r="L216" s="275">
        <f t="shared" si="66"/>
        <v>0</v>
      </c>
      <c r="M216" s="275">
        <f t="shared" si="66"/>
        <v>0</v>
      </c>
      <c r="N216" s="275">
        <f t="shared" si="66"/>
        <v>0</v>
      </c>
      <c r="O216" s="275">
        <f t="shared" si="66"/>
        <v>0</v>
      </c>
      <c r="P216" s="275">
        <f t="shared" si="66"/>
        <v>0</v>
      </c>
      <c r="Q216" s="275">
        <f t="shared" si="66"/>
        <v>0</v>
      </c>
      <c r="R216" s="275">
        <f t="shared" si="66"/>
        <v>0</v>
      </c>
      <c r="S216" s="275">
        <f t="shared" si="66"/>
        <v>0</v>
      </c>
      <c r="T216" s="275">
        <f t="shared" si="66"/>
        <v>0</v>
      </c>
      <c r="U216" s="275">
        <f t="shared" si="66"/>
        <v>0</v>
      </c>
      <c r="V216" s="275">
        <f t="shared" si="66"/>
        <v>0</v>
      </c>
      <c r="W216" s="275">
        <f t="shared" si="66"/>
        <v>0</v>
      </c>
      <c r="X216" s="275">
        <f t="shared" si="66"/>
        <v>0</v>
      </c>
      <c r="Y216" s="275">
        <f t="shared" si="66"/>
        <v>0</v>
      </c>
      <c r="Z216" s="267"/>
      <c r="AA216" s="267"/>
    </row>
    <row r="217" spans="3:27" x14ac:dyDescent="0.35">
      <c r="E217" s="32"/>
      <c r="F217" s="191" t="s">
        <v>197</v>
      </c>
      <c r="G217" t="s">
        <v>269</v>
      </c>
      <c r="H217" s="267"/>
      <c r="I217" s="267"/>
      <c r="J217" s="275">
        <f t="shared" ref="J217:Y217" si="67">hundred * $H25 * J62 / $H50 * J112 * (1 - J74) / hours_in_year</f>
        <v>0.1081804952921947</v>
      </c>
      <c r="K217" s="275">
        <f t="shared" si="67"/>
        <v>0.1081804952921947</v>
      </c>
      <c r="L217" s="275">
        <f t="shared" si="67"/>
        <v>0.1241408956723777</v>
      </c>
      <c r="M217" s="275">
        <f t="shared" si="67"/>
        <v>0.1241408956723777</v>
      </c>
      <c r="N217" s="275">
        <f t="shared" si="67"/>
        <v>0.10543514872242861</v>
      </c>
      <c r="O217" s="275">
        <f t="shared" si="67"/>
        <v>8.6839922696187649E-2</v>
      </c>
      <c r="P217" s="275">
        <f t="shared" si="67"/>
        <v>9.4785963982973009E-2</v>
      </c>
      <c r="Q217" s="275">
        <f t="shared" si="67"/>
        <v>6.6055034373969326E-2</v>
      </c>
      <c r="R217" s="275">
        <f t="shared" si="67"/>
        <v>-8.3630184370748151E-2</v>
      </c>
      <c r="S217" s="275">
        <f t="shared" si="67"/>
        <v>-8.0738512845644941E-2</v>
      </c>
      <c r="T217" s="275">
        <f t="shared" si="67"/>
        <v>-8.3630184370748151E-2</v>
      </c>
      <c r="U217" s="275">
        <f t="shared" si="67"/>
        <v>-8.3630184370748151E-2</v>
      </c>
      <c r="V217" s="275">
        <f t="shared" si="67"/>
        <v>-8.0738512845644941E-2</v>
      </c>
      <c r="W217" s="275">
        <f t="shared" si="67"/>
        <v>-8.0738512845644941E-2</v>
      </c>
      <c r="X217" s="275">
        <f t="shared" si="67"/>
        <v>0</v>
      </c>
      <c r="Y217" s="275">
        <f t="shared" si="67"/>
        <v>0</v>
      </c>
      <c r="Z217" s="267"/>
      <c r="AA217" s="267"/>
    </row>
    <row r="218" spans="3:27" x14ac:dyDescent="0.35">
      <c r="E218" s="32"/>
      <c r="F218" s="191" t="s">
        <v>198</v>
      </c>
      <c r="G218" t="s">
        <v>269</v>
      </c>
      <c r="H218" s="267"/>
      <c r="I218" s="267"/>
      <c r="J218" s="275">
        <f t="shared" ref="J218:Y218" si="68">hundred * $H26 * J63 / $H51 * J113 * (1 - J75) / hours_in_year</f>
        <v>9.9078549957749718E-3</v>
      </c>
      <c r="K218" s="275">
        <f t="shared" si="68"/>
        <v>9.9078549957749718E-3</v>
      </c>
      <c r="L218" s="275">
        <f t="shared" si="68"/>
        <v>1.1369609558963538E-2</v>
      </c>
      <c r="M218" s="275">
        <f t="shared" si="68"/>
        <v>1.1369609558963538E-2</v>
      </c>
      <c r="N218" s="275">
        <f t="shared" si="68"/>
        <v>9.6564187673409806E-3</v>
      </c>
      <c r="O218" s="275">
        <f t="shared" si="68"/>
        <v>7.9533501819732677E-3</v>
      </c>
      <c r="P218" s="275">
        <f t="shared" si="68"/>
        <v>0</v>
      </c>
      <c r="Q218" s="275">
        <f t="shared" si="68"/>
        <v>6.0497384537805815E-3</v>
      </c>
      <c r="R218" s="275">
        <f t="shared" si="68"/>
        <v>-7.659382015004353E-3</v>
      </c>
      <c r="S218" s="275">
        <f t="shared" si="68"/>
        <v>0</v>
      </c>
      <c r="T218" s="275">
        <f t="shared" si="68"/>
        <v>-7.659382015004353E-3</v>
      </c>
      <c r="U218" s="275">
        <f t="shared" si="68"/>
        <v>-7.659382015004353E-3</v>
      </c>
      <c r="V218" s="275">
        <f t="shared" si="68"/>
        <v>0</v>
      </c>
      <c r="W218" s="275">
        <f t="shared" si="68"/>
        <v>0</v>
      </c>
      <c r="X218" s="275">
        <f t="shared" si="68"/>
        <v>0</v>
      </c>
      <c r="Y218" s="275">
        <f t="shared" si="68"/>
        <v>0</v>
      </c>
      <c r="Z218" s="267"/>
      <c r="AA218" s="267"/>
    </row>
    <row r="219" spans="3:27" x14ac:dyDescent="0.35">
      <c r="E219" s="32"/>
      <c r="F219" s="192" t="s">
        <v>199</v>
      </c>
      <c r="G219" s="37" t="s">
        <v>269</v>
      </c>
      <c r="H219" s="269"/>
      <c r="I219" s="269"/>
      <c r="J219" s="276">
        <f t="shared" ref="J219:Y219" si="69">hundred * $H27 * J64 / $H52 * J114 * (1 - J76) / hours_in_year</f>
        <v>3.5981235761947616E-3</v>
      </c>
      <c r="K219" s="276">
        <f t="shared" si="69"/>
        <v>3.5981235761947616E-3</v>
      </c>
      <c r="L219" s="276">
        <f t="shared" si="69"/>
        <v>4.1289724389064085E-3</v>
      </c>
      <c r="M219" s="276">
        <f t="shared" si="69"/>
        <v>4.1289724389064085E-3</v>
      </c>
      <c r="N219" s="276">
        <f t="shared" si="69"/>
        <v>3.5068123265021051E-3</v>
      </c>
      <c r="O219" s="276">
        <f t="shared" si="69"/>
        <v>0</v>
      </c>
      <c r="P219" s="276">
        <f t="shared" si="69"/>
        <v>0</v>
      </c>
      <c r="Q219" s="276">
        <f t="shared" si="69"/>
        <v>2.1970150521623908E-3</v>
      </c>
      <c r="R219" s="276">
        <f t="shared" si="69"/>
        <v>0</v>
      </c>
      <c r="S219" s="276">
        <f t="shared" si="69"/>
        <v>0</v>
      </c>
      <c r="T219" s="276">
        <f t="shared" si="69"/>
        <v>0</v>
      </c>
      <c r="U219" s="276">
        <f t="shared" si="69"/>
        <v>0</v>
      </c>
      <c r="V219" s="276">
        <f t="shared" si="69"/>
        <v>0</v>
      </c>
      <c r="W219" s="276">
        <f t="shared" si="69"/>
        <v>0</v>
      </c>
      <c r="X219" s="276">
        <f t="shared" si="69"/>
        <v>0</v>
      </c>
      <c r="Y219" s="276">
        <f t="shared" si="69"/>
        <v>0</v>
      </c>
      <c r="Z219" s="267"/>
      <c r="AA219" s="267"/>
    </row>
    <row r="220" spans="3:27" x14ac:dyDescent="0.35">
      <c r="E220" s="32"/>
      <c r="F220" s="191"/>
      <c r="J220" s="163"/>
      <c r="K220" s="163"/>
      <c r="L220" s="163"/>
      <c r="M220" s="163"/>
      <c r="N220" s="163"/>
      <c r="O220" s="163"/>
      <c r="P220" s="163"/>
      <c r="Q220" s="163"/>
      <c r="R220" s="163"/>
      <c r="S220" s="163"/>
      <c r="T220" s="163"/>
      <c r="U220" s="163"/>
      <c r="V220" s="163"/>
      <c r="W220" s="163"/>
      <c r="X220" s="163"/>
      <c r="Y220" s="163"/>
    </row>
    <row r="221" spans="3:27" x14ac:dyDescent="0.35">
      <c r="E221" s="32" t="s">
        <v>622</v>
      </c>
      <c r="J221" s="163"/>
      <c r="K221" s="163"/>
      <c r="L221" s="163"/>
      <c r="M221" s="163"/>
      <c r="N221" s="163"/>
      <c r="O221" s="163"/>
      <c r="P221" s="163"/>
      <c r="Q221" s="163"/>
      <c r="R221" s="163"/>
      <c r="S221" s="163"/>
      <c r="T221" s="163"/>
      <c r="U221" s="163"/>
      <c r="V221" s="163"/>
      <c r="W221" s="163"/>
      <c r="X221" s="163"/>
      <c r="Y221" s="163"/>
    </row>
    <row r="222" spans="3:27" x14ac:dyDescent="0.35">
      <c r="C222" s="32"/>
      <c r="E222" s="32"/>
      <c r="F222" s="190" t="s">
        <v>189</v>
      </c>
      <c r="G222" s="23" t="s">
        <v>269</v>
      </c>
      <c r="H222" s="266"/>
      <c r="I222" s="266"/>
      <c r="J222" s="274">
        <f t="shared" ref="J222:Y222" si="70">hundred * $H30 * J55 / $H43 * J105 / hours_in_year</f>
        <v>0.14723595583434593</v>
      </c>
      <c r="K222" s="274">
        <f t="shared" si="70"/>
        <v>0.14723595583434593</v>
      </c>
      <c r="L222" s="274">
        <f t="shared" si="70"/>
        <v>0.16895840033904078</v>
      </c>
      <c r="M222" s="274">
        <f t="shared" si="70"/>
        <v>0.16895840033904078</v>
      </c>
      <c r="N222" s="274">
        <f t="shared" si="70"/>
        <v>0.14349948074052912</v>
      </c>
      <c r="O222" s="274">
        <f t="shared" si="70"/>
        <v>0.11819098247072285</v>
      </c>
      <c r="P222" s="274">
        <f t="shared" si="70"/>
        <v>0.12135128058971713</v>
      </c>
      <c r="Q222" s="274">
        <f t="shared" si="70"/>
        <v>8.9902307226944853E-2</v>
      </c>
      <c r="R222" s="274">
        <f t="shared" si="70"/>
        <v>-0.11382246031663437</v>
      </c>
      <c r="S222" s="274">
        <f t="shared" si="70"/>
        <v>-0.1098868338452676</v>
      </c>
      <c r="T222" s="274">
        <f t="shared" si="70"/>
        <v>-0.11382246031663437</v>
      </c>
      <c r="U222" s="274">
        <f t="shared" si="70"/>
        <v>-0.11382246031663437</v>
      </c>
      <c r="V222" s="274">
        <f t="shared" si="70"/>
        <v>-0.1098868338452676</v>
      </c>
      <c r="W222" s="274">
        <f t="shared" si="70"/>
        <v>-0.1098868338452676</v>
      </c>
      <c r="X222" s="274">
        <f t="shared" si="70"/>
        <v>-0.10740117502124646</v>
      </c>
      <c r="Y222" s="274">
        <f t="shared" si="70"/>
        <v>-0.10740117502124646</v>
      </c>
      <c r="Z222" s="267"/>
      <c r="AA222" s="267"/>
    </row>
    <row r="223" spans="3:27" x14ac:dyDescent="0.35">
      <c r="C223" s="32"/>
      <c r="E223" s="32"/>
      <c r="F223" s="191" t="s">
        <v>191</v>
      </c>
      <c r="G223" t="s">
        <v>269</v>
      </c>
      <c r="H223" s="267"/>
      <c r="I223" s="267"/>
      <c r="J223" s="275">
        <f t="shared" ref="J223:Y223" si="71">hundred * $H31 * J56 / $H44 * J106 / hours_in_year</f>
        <v>0</v>
      </c>
      <c r="K223" s="275">
        <f t="shared" si="71"/>
        <v>0</v>
      </c>
      <c r="L223" s="275">
        <f t="shared" si="71"/>
        <v>0</v>
      </c>
      <c r="M223" s="275">
        <f t="shared" si="71"/>
        <v>0</v>
      </c>
      <c r="N223" s="275">
        <f t="shared" si="71"/>
        <v>0</v>
      </c>
      <c r="O223" s="275">
        <f t="shared" si="71"/>
        <v>0</v>
      </c>
      <c r="P223" s="275">
        <f t="shared" si="71"/>
        <v>0</v>
      </c>
      <c r="Q223" s="275">
        <f t="shared" si="71"/>
        <v>0</v>
      </c>
      <c r="R223" s="275">
        <f t="shared" si="71"/>
        <v>0</v>
      </c>
      <c r="S223" s="275">
        <f t="shared" si="71"/>
        <v>0</v>
      </c>
      <c r="T223" s="275">
        <f t="shared" si="71"/>
        <v>0</v>
      </c>
      <c r="U223" s="275">
        <f t="shared" si="71"/>
        <v>0</v>
      </c>
      <c r="V223" s="275">
        <f t="shared" si="71"/>
        <v>0</v>
      </c>
      <c r="W223" s="275">
        <f t="shared" si="71"/>
        <v>0</v>
      </c>
      <c r="X223" s="275">
        <f t="shared" si="71"/>
        <v>0</v>
      </c>
      <c r="Y223" s="275">
        <f t="shared" si="71"/>
        <v>0</v>
      </c>
      <c r="Z223" s="267"/>
      <c r="AA223" s="267"/>
    </row>
    <row r="224" spans="3:27" x14ac:dyDescent="0.35">
      <c r="C224" s="32"/>
      <c r="E224" s="32"/>
      <c r="F224" s="191" t="s">
        <v>192</v>
      </c>
      <c r="G224" t="s">
        <v>269</v>
      </c>
      <c r="H224" s="267"/>
      <c r="I224" s="267"/>
      <c r="J224" s="275">
        <f t="shared" ref="J224:Y224" si="72">hundred * $H32 * J57 / $H45 * J107 / hours_in_year</f>
        <v>0</v>
      </c>
      <c r="K224" s="275">
        <f t="shared" si="72"/>
        <v>0</v>
      </c>
      <c r="L224" s="275">
        <f t="shared" si="72"/>
        <v>0</v>
      </c>
      <c r="M224" s="275">
        <f t="shared" si="72"/>
        <v>0</v>
      </c>
      <c r="N224" s="275">
        <f t="shared" si="72"/>
        <v>0</v>
      </c>
      <c r="O224" s="275">
        <f t="shared" si="72"/>
        <v>0</v>
      </c>
      <c r="P224" s="275">
        <f t="shared" si="72"/>
        <v>0</v>
      </c>
      <c r="Q224" s="275">
        <f t="shared" si="72"/>
        <v>0</v>
      </c>
      <c r="R224" s="275">
        <f t="shared" si="72"/>
        <v>0</v>
      </c>
      <c r="S224" s="275">
        <f t="shared" si="72"/>
        <v>0</v>
      </c>
      <c r="T224" s="275">
        <f t="shared" si="72"/>
        <v>0</v>
      </c>
      <c r="U224" s="275">
        <f t="shared" si="72"/>
        <v>0</v>
      </c>
      <c r="V224" s="275">
        <f t="shared" si="72"/>
        <v>0</v>
      </c>
      <c r="W224" s="275">
        <f t="shared" si="72"/>
        <v>0</v>
      </c>
      <c r="X224" s="275">
        <f t="shared" si="72"/>
        <v>0</v>
      </c>
      <c r="Y224" s="275">
        <f t="shared" si="72"/>
        <v>0</v>
      </c>
      <c r="Z224" s="267"/>
      <c r="AA224" s="267"/>
    </row>
    <row r="225" spans="2:27" x14ac:dyDescent="0.35">
      <c r="C225" s="32"/>
      <c r="E225" s="32"/>
      <c r="F225" s="191" t="s">
        <v>193</v>
      </c>
      <c r="G225" t="s">
        <v>269</v>
      </c>
      <c r="H225" s="267"/>
      <c r="I225" s="267"/>
      <c r="J225" s="275">
        <f t="shared" ref="J225:Y225" si="73">hundred * $H33 * J58 / $H46 * J108 / hours_in_year</f>
        <v>0</v>
      </c>
      <c r="K225" s="275">
        <f t="shared" si="73"/>
        <v>0</v>
      </c>
      <c r="L225" s="275">
        <f t="shared" si="73"/>
        <v>0</v>
      </c>
      <c r="M225" s="275">
        <f t="shared" si="73"/>
        <v>0</v>
      </c>
      <c r="N225" s="275">
        <f t="shared" si="73"/>
        <v>0</v>
      </c>
      <c r="O225" s="275">
        <f t="shared" si="73"/>
        <v>0</v>
      </c>
      <c r="P225" s="275">
        <f t="shared" si="73"/>
        <v>0</v>
      </c>
      <c r="Q225" s="275">
        <f t="shared" si="73"/>
        <v>0</v>
      </c>
      <c r="R225" s="275">
        <f t="shared" si="73"/>
        <v>0</v>
      </c>
      <c r="S225" s="275">
        <f t="shared" si="73"/>
        <v>0</v>
      </c>
      <c r="T225" s="275">
        <f t="shared" si="73"/>
        <v>0</v>
      </c>
      <c r="U225" s="275">
        <f t="shared" si="73"/>
        <v>0</v>
      </c>
      <c r="V225" s="275">
        <f t="shared" si="73"/>
        <v>0</v>
      </c>
      <c r="W225" s="275">
        <f t="shared" si="73"/>
        <v>0</v>
      </c>
      <c r="X225" s="275">
        <f t="shared" si="73"/>
        <v>0</v>
      </c>
      <c r="Y225" s="275">
        <f t="shared" si="73"/>
        <v>0</v>
      </c>
      <c r="Z225" s="267"/>
      <c r="AA225" s="267"/>
    </row>
    <row r="226" spans="2:27" x14ac:dyDescent="0.35">
      <c r="C226" s="32"/>
      <c r="E226" s="32"/>
      <c r="F226" s="191" t="s">
        <v>194</v>
      </c>
      <c r="G226" t="s">
        <v>269</v>
      </c>
      <c r="H226" s="267"/>
      <c r="I226" s="267"/>
      <c r="J226" s="275">
        <f t="shared" ref="J226:Y226" si="74">hundred * $H34 * J59 / $H47 * J109 / hours_in_year</f>
        <v>3.9651158351258646E-2</v>
      </c>
      <c r="K226" s="275">
        <f t="shared" si="74"/>
        <v>3.9651158351258646E-2</v>
      </c>
      <c r="L226" s="275">
        <f t="shared" si="74"/>
        <v>4.5501088702518414E-2</v>
      </c>
      <c r="M226" s="275">
        <f t="shared" si="74"/>
        <v>4.5501088702518414E-2</v>
      </c>
      <c r="N226" s="275">
        <f t="shared" si="74"/>
        <v>3.8644912527805358E-2</v>
      </c>
      <c r="O226" s="275">
        <f t="shared" si="74"/>
        <v>3.1829245343509109E-2</v>
      </c>
      <c r="P226" s="275">
        <f t="shared" si="74"/>
        <v>3.2680324690556727E-2</v>
      </c>
      <c r="Q226" s="275">
        <f t="shared" si="74"/>
        <v>2.4211006067089664E-2</v>
      </c>
      <c r="R226" s="275">
        <f t="shared" si="74"/>
        <v>-3.0652787034048144E-2</v>
      </c>
      <c r="S226" s="275">
        <f t="shared" si="74"/>
        <v>-2.9592909047429557E-2</v>
      </c>
      <c r="T226" s="275">
        <f t="shared" si="74"/>
        <v>-3.0652787034048144E-2</v>
      </c>
      <c r="U226" s="275">
        <f t="shared" si="74"/>
        <v>-3.0652787034048144E-2</v>
      </c>
      <c r="V226" s="275">
        <f t="shared" si="74"/>
        <v>-2.9592909047429557E-2</v>
      </c>
      <c r="W226" s="275">
        <f t="shared" si="74"/>
        <v>-2.9592909047429557E-2</v>
      </c>
      <c r="X226" s="275">
        <f t="shared" si="74"/>
        <v>-2.8923512424302023E-2</v>
      </c>
      <c r="Y226" s="275">
        <f t="shared" si="74"/>
        <v>-2.8923512424302023E-2</v>
      </c>
      <c r="Z226" s="267"/>
      <c r="AA226" s="267"/>
    </row>
    <row r="227" spans="2:27" x14ac:dyDescent="0.35">
      <c r="C227" s="32"/>
      <c r="E227" s="32"/>
      <c r="F227" s="191" t="s">
        <v>195</v>
      </c>
      <c r="G227" t="s">
        <v>269</v>
      </c>
      <c r="H227" s="267"/>
      <c r="I227" s="267"/>
      <c r="J227" s="275">
        <f t="shared" ref="J227:Y227" si="75">hundred * $H35 * J60 / $H48 * J110 / hours_in_year</f>
        <v>3.5876221577377611E-2</v>
      </c>
      <c r="K227" s="275">
        <f t="shared" si="75"/>
        <v>3.5876221577377611E-2</v>
      </c>
      <c r="L227" s="275">
        <f t="shared" si="75"/>
        <v>4.1169216945503094E-2</v>
      </c>
      <c r="M227" s="275">
        <f t="shared" si="75"/>
        <v>4.1169216945503094E-2</v>
      </c>
      <c r="N227" s="275">
        <f t="shared" si="75"/>
        <v>3.4965774074086069E-2</v>
      </c>
      <c r="O227" s="275">
        <f t="shared" si="75"/>
        <v>2.87989835875299E-2</v>
      </c>
      <c r="P227" s="275">
        <f t="shared" si="75"/>
        <v>2.9569037036262024E-2</v>
      </c>
      <c r="Q227" s="275">
        <f t="shared" si="75"/>
        <v>2.1906028837277852E-2</v>
      </c>
      <c r="R227" s="275">
        <f t="shared" si="75"/>
        <v>-2.7734528455781435E-2</v>
      </c>
      <c r="S227" s="275">
        <f t="shared" si="75"/>
        <v>-2.6775554769412284E-2</v>
      </c>
      <c r="T227" s="275">
        <f t="shared" si="75"/>
        <v>-2.7734528455781435E-2</v>
      </c>
      <c r="U227" s="275">
        <f t="shared" si="75"/>
        <v>-2.7734528455781435E-2</v>
      </c>
      <c r="V227" s="275">
        <f t="shared" si="75"/>
        <v>-2.6775554769412284E-2</v>
      </c>
      <c r="W227" s="275">
        <f t="shared" si="75"/>
        <v>-2.6775554769412284E-2</v>
      </c>
      <c r="X227" s="275">
        <f t="shared" si="75"/>
        <v>-2.6169887178021239E-2</v>
      </c>
      <c r="Y227" s="275">
        <f t="shared" si="75"/>
        <v>-2.6169887178021239E-2</v>
      </c>
      <c r="Z227" s="267"/>
      <c r="AA227" s="267"/>
    </row>
    <row r="228" spans="2:27" x14ac:dyDescent="0.35">
      <c r="C228" s="32"/>
      <c r="E228" s="32"/>
      <c r="F228" s="191" t="s">
        <v>196</v>
      </c>
      <c r="G228" t="s">
        <v>269</v>
      </c>
      <c r="H228" s="267"/>
      <c r="I228" s="267"/>
      <c r="J228" s="275">
        <f t="shared" ref="J228:Y228" si="76">hundred * $H36 * J61 / $H49 * J111 / hours_in_year</f>
        <v>0</v>
      </c>
      <c r="K228" s="275">
        <f t="shared" si="76"/>
        <v>0</v>
      </c>
      <c r="L228" s="275">
        <f t="shared" si="76"/>
        <v>0</v>
      </c>
      <c r="M228" s="275">
        <f t="shared" si="76"/>
        <v>0</v>
      </c>
      <c r="N228" s="275">
        <f t="shared" si="76"/>
        <v>0</v>
      </c>
      <c r="O228" s="275">
        <f t="shared" si="76"/>
        <v>0</v>
      </c>
      <c r="P228" s="275">
        <f t="shared" si="76"/>
        <v>0</v>
      </c>
      <c r="Q228" s="275">
        <f t="shared" si="76"/>
        <v>0</v>
      </c>
      <c r="R228" s="275">
        <f t="shared" si="76"/>
        <v>0</v>
      </c>
      <c r="S228" s="275">
        <f t="shared" si="76"/>
        <v>0</v>
      </c>
      <c r="T228" s="275">
        <f t="shared" si="76"/>
        <v>0</v>
      </c>
      <c r="U228" s="275">
        <f t="shared" si="76"/>
        <v>0</v>
      </c>
      <c r="V228" s="275">
        <f t="shared" si="76"/>
        <v>0</v>
      </c>
      <c r="W228" s="275">
        <f t="shared" si="76"/>
        <v>0</v>
      </c>
      <c r="X228" s="275">
        <f t="shared" si="76"/>
        <v>0</v>
      </c>
      <c r="Y228" s="275">
        <f t="shared" si="76"/>
        <v>0</v>
      </c>
      <c r="Z228" s="267"/>
      <c r="AA228" s="267"/>
    </row>
    <row r="229" spans="2:27" x14ac:dyDescent="0.35">
      <c r="C229" s="32"/>
      <c r="E229" s="32"/>
      <c r="F229" s="191" t="s">
        <v>197</v>
      </c>
      <c r="G229" t="s">
        <v>269</v>
      </c>
      <c r="H229" s="267"/>
      <c r="I229" s="267"/>
      <c r="J229" s="275">
        <f t="shared" ref="J229:Y229" si="77">hundred * $H37 * J62 / $H50 * J112 / hours_in_year</f>
        <v>0.1680162944256631</v>
      </c>
      <c r="K229" s="275">
        <f t="shared" si="77"/>
        <v>0.1680162944256631</v>
      </c>
      <c r="L229" s="275">
        <f t="shared" si="77"/>
        <v>0.1928045644570148</v>
      </c>
      <c r="M229" s="275">
        <f t="shared" si="77"/>
        <v>0.1928045644570148</v>
      </c>
      <c r="N229" s="275">
        <f t="shared" si="77"/>
        <v>0.16375246704790489</v>
      </c>
      <c r="O229" s="275">
        <f t="shared" si="77"/>
        <v>0.13487202087784489</v>
      </c>
      <c r="P229" s="275">
        <f t="shared" si="77"/>
        <v>0.13847835179222576</v>
      </c>
      <c r="Q229" s="275">
        <f t="shared" si="77"/>
        <v>0.10259078657106943</v>
      </c>
      <c r="R229" s="275">
        <f t="shared" si="77"/>
        <v>-0.12988694165390754</v>
      </c>
      <c r="S229" s="275">
        <f t="shared" si="77"/>
        <v>-0.12539585540927742</v>
      </c>
      <c r="T229" s="275">
        <f t="shared" si="77"/>
        <v>-0.12988694165390754</v>
      </c>
      <c r="U229" s="275">
        <f t="shared" si="77"/>
        <v>-0.12988694165390754</v>
      </c>
      <c r="V229" s="275">
        <f t="shared" si="77"/>
        <v>-0.12539585540927742</v>
      </c>
      <c r="W229" s="275">
        <f t="shared" si="77"/>
        <v>-0.12539585540927742</v>
      </c>
      <c r="X229" s="275">
        <f t="shared" si="77"/>
        <v>0</v>
      </c>
      <c r="Y229" s="275">
        <f t="shared" si="77"/>
        <v>0</v>
      </c>
      <c r="Z229" s="267"/>
      <c r="AA229" s="267"/>
    </row>
    <row r="230" spans="2:27" x14ac:dyDescent="0.35">
      <c r="C230" s="32"/>
      <c r="E230" s="32"/>
      <c r="F230" s="191" t="s">
        <v>198</v>
      </c>
      <c r="G230" t="s">
        <v>269</v>
      </c>
      <c r="H230" s="267"/>
      <c r="I230" s="267"/>
      <c r="J230" s="275">
        <f t="shared" ref="J230:Y230" si="78">hundred * $H38 * J63 / $H51 * J113 / hours_in_year</f>
        <v>4.0685408848591974E-2</v>
      </c>
      <c r="K230" s="275">
        <f t="shared" si="78"/>
        <v>4.0685408848591974E-2</v>
      </c>
      <c r="L230" s="275">
        <f t="shared" si="78"/>
        <v>4.6687927261001384E-2</v>
      </c>
      <c r="M230" s="275">
        <f t="shared" si="78"/>
        <v>4.6687927261001384E-2</v>
      </c>
      <c r="N230" s="275">
        <f t="shared" si="78"/>
        <v>3.9652916370901577E-2</v>
      </c>
      <c r="O230" s="275">
        <f t="shared" si="78"/>
        <v>3.2659471097184305E-2</v>
      </c>
      <c r="P230" s="275">
        <f t="shared" si="78"/>
        <v>0</v>
      </c>
      <c r="Q230" s="275">
        <f t="shared" si="78"/>
        <v>2.4842519649719536E-2</v>
      </c>
      <c r="R230" s="275">
        <f t="shared" si="78"/>
        <v>-3.1452326355289953E-2</v>
      </c>
      <c r="S230" s="275">
        <f t="shared" si="78"/>
        <v>0</v>
      </c>
      <c r="T230" s="275">
        <f t="shared" si="78"/>
        <v>-3.1452326355289953E-2</v>
      </c>
      <c r="U230" s="275">
        <f t="shared" si="78"/>
        <v>-3.1452326355289953E-2</v>
      </c>
      <c r="V230" s="275">
        <f t="shared" si="78"/>
        <v>0</v>
      </c>
      <c r="W230" s="275">
        <f t="shared" si="78"/>
        <v>0</v>
      </c>
      <c r="X230" s="275">
        <f t="shared" si="78"/>
        <v>0</v>
      </c>
      <c r="Y230" s="275">
        <f t="shared" si="78"/>
        <v>0</v>
      </c>
      <c r="Z230" s="267"/>
      <c r="AA230" s="267"/>
    </row>
    <row r="231" spans="2:27" x14ac:dyDescent="0.35">
      <c r="C231" s="32"/>
      <c r="E231" s="32"/>
      <c r="F231" s="192" t="s">
        <v>199</v>
      </c>
      <c r="G231" s="37" t="s">
        <v>269</v>
      </c>
      <c r="H231" s="269"/>
      <c r="I231" s="269"/>
      <c r="J231" s="276">
        <f t="shared" ref="J231:Y231" si="79">hundred * $H39 * J64 / $H52 * J114 / hours_in_year</f>
        <v>9.6579389013993988E-2</v>
      </c>
      <c r="K231" s="276">
        <f t="shared" si="79"/>
        <v>9.6579389013993988E-2</v>
      </c>
      <c r="L231" s="276">
        <f t="shared" si="79"/>
        <v>0.11082822114379111</v>
      </c>
      <c r="M231" s="276">
        <f t="shared" si="79"/>
        <v>0.11082822114379111</v>
      </c>
      <c r="N231" s="276">
        <f t="shared" si="79"/>
        <v>9.4128449095263508E-2</v>
      </c>
      <c r="O231" s="276">
        <f t="shared" si="79"/>
        <v>0</v>
      </c>
      <c r="P231" s="276">
        <f t="shared" si="79"/>
        <v>0</v>
      </c>
      <c r="Q231" s="276">
        <f t="shared" si="79"/>
        <v>5.8971396312294547E-2</v>
      </c>
      <c r="R231" s="276">
        <f t="shared" si="79"/>
        <v>0</v>
      </c>
      <c r="S231" s="276">
        <f t="shared" si="79"/>
        <v>0</v>
      </c>
      <c r="T231" s="276">
        <f t="shared" si="79"/>
        <v>0</v>
      </c>
      <c r="U231" s="276">
        <f t="shared" si="79"/>
        <v>0</v>
      </c>
      <c r="V231" s="276">
        <f t="shared" si="79"/>
        <v>0</v>
      </c>
      <c r="W231" s="276">
        <f t="shared" si="79"/>
        <v>0</v>
      </c>
      <c r="X231" s="276">
        <f t="shared" si="79"/>
        <v>0</v>
      </c>
      <c r="Y231" s="276">
        <f t="shared" si="79"/>
        <v>0</v>
      </c>
      <c r="Z231" s="267"/>
      <c r="AA231" s="267"/>
    </row>
    <row r="232" spans="2:27" x14ac:dyDescent="0.35">
      <c r="J232" s="14"/>
      <c r="K232" s="14"/>
      <c r="L232" s="14"/>
      <c r="M232" s="14"/>
      <c r="N232" s="14"/>
      <c r="O232" s="14"/>
      <c r="P232" s="14"/>
      <c r="Q232" s="14"/>
      <c r="R232" s="14"/>
      <c r="S232" s="14"/>
      <c r="T232" s="14"/>
      <c r="U232" s="14"/>
      <c r="V232" s="14"/>
      <c r="W232" s="14"/>
      <c r="X232" s="14"/>
      <c r="Y232" s="14"/>
    </row>
    <row r="233" spans="2:27" x14ac:dyDescent="0.35">
      <c r="B233" s="30" t="s">
        <v>231</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35">
      <c r="C234" s="32"/>
      <c r="D234" s="32"/>
      <c r="E234" s="32"/>
      <c r="J234" s="164"/>
      <c r="K234" s="14"/>
      <c r="L234" s="164"/>
      <c r="M234" s="14"/>
      <c r="N234" s="14"/>
      <c r="O234" s="14"/>
      <c r="P234" s="14"/>
      <c r="Q234" s="14"/>
      <c r="R234" s="14"/>
      <c r="S234" s="14"/>
      <c r="T234" s="14"/>
      <c r="U234" s="14"/>
      <c r="V234" s="14"/>
      <c r="W234" s="14"/>
      <c r="X234" s="14"/>
      <c r="Y234" s="14"/>
    </row>
    <row r="235" spans="2:27" x14ac:dyDescent="0.35">
      <c r="D235" s="32" t="s">
        <v>629</v>
      </c>
      <c r="E235" s="32"/>
      <c r="J235" s="164"/>
      <c r="K235" s="14"/>
      <c r="L235" s="164"/>
      <c r="M235" s="14"/>
      <c r="N235" s="14"/>
      <c r="O235" s="14"/>
      <c r="P235" s="14"/>
      <c r="Q235" s="14"/>
      <c r="R235" s="14"/>
      <c r="S235" s="14"/>
      <c r="T235" s="14"/>
      <c r="U235" s="14"/>
      <c r="V235" s="14"/>
      <c r="W235" s="14"/>
      <c r="X235" s="14"/>
      <c r="Y235" s="14"/>
    </row>
    <row r="236" spans="2:27" x14ac:dyDescent="0.35">
      <c r="C236" s="32"/>
      <c r="D236" s="32"/>
      <c r="E236" s="32"/>
      <c r="J236" s="164"/>
      <c r="K236" s="14"/>
      <c r="L236" s="164"/>
      <c r="M236" s="14"/>
      <c r="N236" s="14"/>
      <c r="O236" s="14"/>
      <c r="P236" s="14"/>
      <c r="Q236" s="14"/>
      <c r="R236" s="14"/>
      <c r="S236" s="14"/>
      <c r="T236" s="14"/>
      <c r="U236" s="14"/>
      <c r="V236" s="14"/>
      <c r="W236" s="14"/>
      <c r="X236" s="14"/>
      <c r="Y236" s="14"/>
    </row>
    <row r="237" spans="2:27" x14ac:dyDescent="0.35">
      <c r="C237" s="32"/>
      <c r="D237" s="32"/>
      <c r="E237" t="s">
        <v>232</v>
      </c>
      <c r="G237" s="6" t="s">
        <v>55</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35">
      <c r="C238" s="32"/>
      <c r="D238" s="32"/>
      <c r="E238" s="32"/>
      <c r="J238" s="63"/>
      <c r="L238" s="63"/>
    </row>
    <row r="239" spans="2:27" x14ac:dyDescent="0.35">
      <c r="C239" s="32"/>
      <c r="D239" s="32"/>
      <c r="E239" t="s">
        <v>630</v>
      </c>
      <c r="G239" s="6" t="s">
        <v>55</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35">
      <c r="C240" s="32"/>
      <c r="D240" s="32"/>
      <c r="E240" s="32"/>
      <c r="J240" s="164"/>
      <c r="K240" s="14"/>
      <c r="L240" s="164"/>
      <c r="M240" s="14"/>
      <c r="N240" s="14"/>
      <c r="O240" s="14"/>
      <c r="P240" s="14"/>
      <c r="Q240" s="14"/>
      <c r="R240" s="14"/>
      <c r="S240" s="14"/>
      <c r="T240" s="14"/>
      <c r="U240" s="14"/>
      <c r="V240" s="14"/>
      <c r="W240" s="14"/>
      <c r="X240" s="14"/>
      <c r="Y240" s="14"/>
    </row>
    <row r="241" spans="2:27" x14ac:dyDescent="0.35">
      <c r="C241" s="32"/>
      <c r="D241" s="32"/>
      <c r="E241" t="s">
        <v>631</v>
      </c>
      <c r="G241" s="6" t="s">
        <v>55</v>
      </c>
      <c r="H241" s="103">
        <f>SUM(H239, H237)</f>
        <v>0</v>
      </c>
      <c r="J241" s="164"/>
      <c r="K241" s="14"/>
      <c r="L241" s="164"/>
      <c r="M241" s="14"/>
      <c r="N241" s="14"/>
      <c r="O241" s="14"/>
      <c r="P241" s="14"/>
      <c r="Q241" s="14"/>
      <c r="R241" s="14"/>
      <c r="S241" s="14"/>
      <c r="T241" s="14"/>
      <c r="U241" s="14"/>
      <c r="V241" s="14"/>
      <c r="W241" s="14"/>
      <c r="X241" s="14"/>
      <c r="Y241" s="14"/>
    </row>
    <row r="242" spans="2:27" x14ac:dyDescent="0.35">
      <c r="C242" s="32"/>
      <c r="D242" s="32"/>
      <c r="E242" s="32"/>
      <c r="J242" s="63"/>
      <c r="L242" s="63"/>
    </row>
    <row r="243" spans="2:27" x14ac:dyDescent="0.35">
      <c r="B243" s="30" t="s">
        <v>106</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Service model charges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H48 &amp; IF(H48 = 1, " issue", " issues") &amp;" identified in checks on this sheet"</f>
        <v>0 issues identified in checks on this sheet</v>
      </c>
      <c r="B4" s="13"/>
      <c r="C4" s="13"/>
      <c r="D4" s="13"/>
      <c r="E4" s="13"/>
      <c r="F4" s="13"/>
      <c r="G4" s="13"/>
      <c r="H4" s="14"/>
      <c r="I4" s="14"/>
    </row>
    <row r="5" spans="1:27"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5">
      <c r="C9" s="29" t="s">
        <v>632</v>
      </c>
      <c r="D9"/>
      <c r="F9" s="29"/>
    </row>
    <row r="10" spans="1:27" x14ac:dyDescent="0.35">
      <c r="C10" s="29" t="s">
        <v>633</v>
      </c>
      <c r="D10"/>
      <c r="E10"/>
      <c r="F10" s="29"/>
    </row>
    <row r="11" spans="1:27" x14ac:dyDescent="0.35">
      <c r="C11" s="29" t="s">
        <v>634</v>
      </c>
    </row>
    <row r="13" spans="1:27" x14ac:dyDescent="0.35">
      <c r="B13" s="30" t="s">
        <v>635</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35">
      <c r="C14" s="88"/>
    </row>
    <row r="15" spans="1:27" x14ac:dyDescent="0.35">
      <c r="B15" s="2"/>
      <c r="C15" s="29" t="s">
        <v>636</v>
      </c>
    </row>
    <row r="16" spans="1:27" x14ac:dyDescent="0.35">
      <c r="C16" s="88"/>
    </row>
    <row r="17" spans="2:27" x14ac:dyDescent="0.3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35">
      <c r="C18" s="88"/>
    </row>
    <row r="19" spans="2:27" x14ac:dyDescent="0.35">
      <c r="D19"/>
      <c r="E19" s="28" t="s">
        <v>568</v>
      </c>
      <c r="F19" s="28"/>
      <c r="G19" s="28" t="s">
        <v>167</v>
      </c>
      <c r="H19" s="179">
        <f>'Unit costs'!$H$121</f>
        <v>4.792270865014963E-2</v>
      </c>
      <c r="I19" s="3"/>
      <c r="J19" s="3"/>
      <c r="K19" s="3"/>
      <c r="L19" s="3"/>
      <c r="M19" s="3"/>
      <c r="N19" s="3"/>
      <c r="P19" s="3"/>
    </row>
    <row r="20" spans="2:27" x14ac:dyDescent="0.35">
      <c r="C20" s="88"/>
      <c r="E20" t="s">
        <v>598</v>
      </c>
      <c r="G20" t="s">
        <v>357</v>
      </c>
      <c r="H20" s="120">
        <f>'Unit costs'!$H$122</f>
        <v>96282504.634126857</v>
      </c>
    </row>
    <row r="21" spans="2:27" x14ac:dyDescent="0.35">
      <c r="C21" s="88"/>
      <c r="E21" t="s">
        <v>637</v>
      </c>
      <c r="G21" t="s">
        <v>357</v>
      </c>
      <c r="H21" s="120">
        <f>'Unit costs'!$H$123</f>
        <v>2250633667.8930712</v>
      </c>
    </row>
    <row r="22" spans="2:27" x14ac:dyDescent="0.35">
      <c r="D22" s="88"/>
      <c r="E22"/>
    </row>
    <row r="23" spans="2:27" x14ac:dyDescent="0.35">
      <c r="D23"/>
      <c r="E23" s="32" t="s">
        <v>638</v>
      </c>
      <c r="H23" s="63"/>
      <c r="J23" s="63"/>
      <c r="K23" s="63"/>
      <c r="L23" s="63"/>
      <c r="M23" s="63"/>
      <c r="N23" s="63"/>
    </row>
    <row r="24" spans="2:27" x14ac:dyDescent="0.35">
      <c r="D24"/>
      <c r="E24" s="29" t="s">
        <v>639</v>
      </c>
      <c r="H24" s="63"/>
    </row>
    <row r="25" spans="2:27" x14ac:dyDescent="0.35">
      <c r="E25" s="88"/>
      <c r="F25" s="23" t="s">
        <v>376</v>
      </c>
      <c r="G25" s="23" t="s">
        <v>261</v>
      </c>
      <c r="H25" s="174"/>
      <c r="I25" s="23"/>
      <c r="J25" s="124">
        <f>'Inputs by customer type'!J187</f>
        <v>340.30200083901309</v>
      </c>
      <c r="K25" s="124">
        <f>'Inputs by customer type'!K187</f>
        <v>0</v>
      </c>
      <c r="L25" s="124">
        <f>'Inputs by customer type'!L187</f>
        <v>603.05999999999995</v>
      </c>
      <c r="M25" s="124">
        <f>'Inputs by customer type'!M187</f>
        <v>0</v>
      </c>
      <c r="N25" s="124">
        <f>'Inputs by customer type'!N187</f>
        <v>2314.17</v>
      </c>
      <c r="O25" s="124">
        <f>'Inputs by customer type'!O187</f>
        <v>5441.46</v>
      </c>
      <c r="P25" s="124">
        <f>'Inputs by customer type'!P187</f>
        <v>0</v>
      </c>
      <c r="Q25" s="83"/>
      <c r="R25" s="124">
        <f>'Inputs by customer type'!R187</f>
        <v>0</v>
      </c>
      <c r="S25" s="124">
        <f>'Inputs by customer type'!S187</f>
        <v>0</v>
      </c>
      <c r="T25" s="124">
        <f>'Inputs by customer type'!T187</f>
        <v>0</v>
      </c>
      <c r="U25" s="124">
        <f>'Inputs by customer type'!U187</f>
        <v>0</v>
      </c>
      <c r="V25" s="124">
        <f>'Inputs by customer type'!V187</f>
        <v>0</v>
      </c>
      <c r="W25" s="124">
        <f>'Inputs by customer type'!W187</f>
        <v>0</v>
      </c>
      <c r="X25" s="124">
        <f>'Inputs by customer type'!X187</f>
        <v>0</v>
      </c>
      <c r="Y25" s="124">
        <f>'Inputs by customer type'!Y187</f>
        <v>0</v>
      </c>
    </row>
    <row r="26" spans="2:27" x14ac:dyDescent="0.35">
      <c r="E26" s="88"/>
      <c r="F26" t="s">
        <v>377</v>
      </c>
      <c r="G26" t="s">
        <v>261</v>
      </c>
      <c r="H26" s="51"/>
      <c r="J26" s="120">
        <f>'Inputs by customer type'!J188</f>
        <v>0</v>
      </c>
      <c r="K26" s="120">
        <f>'Inputs by customer type'!K188</f>
        <v>0</v>
      </c>
      <c r="L26" s="120">
        <f>'Inputs by customer type'!L188</f>
        <v>0</v>
      </c>
      <c r="M26" s="120">
        <f>'Inputs by customer type'!M188</f>
        <v>0</v>
      </c>
      <c r="N26" s="120">
        <f>'Inputs by customer type'!N188</f>
        <v>0</v>
      </c>
      <c r="O26" s="120">
        <f>'Inputs by customer type'!O188</f>
        <v>0</v>
      </c>
      <c r="P26" s="120">
        <f>'Inputs by customer type'!P188</f>
        <v>27478.07</v>
      </c>
      <c r="Q26" s="79"/>
      <c r="R26" s="120">
        <f>'Inputs by customer type'!R188</f>
        <v>0</v>
      </c>
      <c r="S26" s="120">
        <f>'Inputs by customer type'!S188</f>
        <v>0</v>
      </c>
      <c r="T26" s="120">
        <f>'Inputs by customer type'!T188</f>
        <v>0</v>
      </c>
      <c r="U26" s="120">
        <f>'Inputs by customer type'!U188</f>
        <v>0</v>
      </c>
      <c r="V26" s="120">
        <f>'Inputs by customer type'!V188</f>
        <v>0</v>
      </c>
      <c r="W26" s="120">
        <f>'Inputs by customer type'!W188</f>
        <v>0</v>
      </c>
      <c r="X26" s="120">
        <f>'Inputs by customer type'!X188</f>
        <v>44937.57</v>
      </c>
      <c r="Y26" s="120">
        <f>'Inputs by customer type'!Y188</f>
        <v>44937.57</v>
      </c>
    </row>
    <row r="27" spans="2:27" x14ac:dyDescent="0.35">
      <c r="E27" s="88"/>
      <c r="F27" s="37" t="s">
        <v>553</v>
      </c>
      <c r="G27" s="37" t="s">
        <v>264</v>
      </c>
      <c r="H27" s="37"/>
      <c r="I27" s="37"/>
      <c r="J27" s="81"/>
      <c r="K27" s="81"/>
      <c r="L27" s="81"/>
      <c r="M27" s="81"/>
      <c r="N27" s="81"/>
      <c r="O27" s="81"/>
      <c r="P27" s="81"/>
      <c r="Q27" s="125">
        <f>'Inputs by customer type'!Q190</f>
        <v>599.34996000000001</v>
      </c>
      <c r="R27" s="81"/>
      <c r="S27" s="81"/>
      <c r="T27" s="81"/>
      <c r="U27" s="81"/>
      <c r="V27" s="81"/>
      <c r="W27" s="81"/>
      <c r="X27" s="81"/>
      <c r="Y27" s="81"/>
    </row>
    <row r="28" spans="2:27" x14ac:dyDescent="0.35">
      <c r="D28" s="88"/>
      <c r="E28"/>
    </row>
    <row r="29" spans="2:27" x14ac:dyDescent="0.35">
      <c r="B29" s="30" t="s">
        <v>640</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35">
      <c r="C30" s="88"/>
    </row>
    <row r="31" spans="2:27" x14ac:dyDescent="0.35">
      <c r="C31" s="29" t="s">
        <v>641</v>
      </c>
    </row>
    <row r="32" spans="2:27" x14ac:dyDescent="0.35">
      <c r="C32" s="88"/>
    </row>
    <row r="33" spans="2:27" x14ac:dyDescent="0.3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35">
      <c r="C34" s="88"/>
    </row>
    <row r="35" spans="2:27" x14ac:dyDescent="0.35">
      <c r="D35"/>
      <c r="E35" t="s">
        <v>642</v>
      </c>
      <c r="G35" t="s">
        <v>277</v>
      </c>
      <c r="H35" s="98">
        <f>IF(H21 &lt;&gt; 0, H20  /H21, 0)</f>
        <v>4.2780176093367359E-2</v>
      </c>
      <c r="I35" t="s">
        <v>154</v>
      </c>
      <c r="J35" s="63"/>
      <c r="K35" s="63"/>
      <c r="L35" s="63"/>
      <c r="M35" s="63"/>
      <c r="N35" s="63"/>
      <c r="O35" s="63"/>
      <c r="P35" s="63"/>
      <c r="Q35" s="63"/>
      <c r="R35" s="63"/>
      <c r="S35" s="63"/>
      <c r="T35" s="63"/>
      <c r="U35" s="63"/>
      <c r="V35" s="63"/>
      <c r="W35" s="63"/>
      <c r="X35" s="63"/>
      <c r="Y35" s="63"/>
      <c r="AA35" t="s">
        <v>643</v>
      </c>
    </row>
    <row r="36" spans="2:27" x14ac:dyDescent="0.35">
      <c r="D36" s="88"/>
      <c r="E36"/>
      <c r="J36" s="63"/>
      <c r="K36" s="63"/>
      <c r="L36" s="63"/>
      <c r="M36" s="63"/>
      <c r="N36" s="63"/>
      <c r="O36" s="63"/>
      <c r="P36" s="63"/>
      <c r="Q36" s="63"/>
      <c r="R36" s="63"/>
      <c r="S36" s="63"/>
      <c r="T36" s="63"/>
      <c r="U36" s="63"/>
      <c r="V36" s="63"/>
      <c r="W36" s="63"/>
      <c r="X36" s="63"/>
      <c r="Y36" s="63"/>
    </row>
    <row r="37" spans="2:27" x14ac:dyDescent="0.3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35">
      <c r="C38" s="88"/>
    </row>
    <row r="39" spans="2:27" x14ac:dyDescent="0.35">
      <c r="D39"/>
      <c r="E39" s="29" t="s">
        <v>644</v>
      </c>
      <c r="H39" s="63"/>
      <c r="J39" s="63"/>
      <c r="K39" s="63"/>
      <c r="L39" s="63"/>
      <c r="M39" s="63"/>
      <c r="N39" s="63"/>
      <c r="O39" s="63"/>
      <c r="P39" s="63"/>
      <c r="Q39" s="63"/>
      <c r="R39" s="63"/>
      <c r="S39" s="63"/>
      <c r="T39" s="63"/>
      <c r="U39" s="63"/>
      <c r="V39" s="63"/>
      <c r="W39" s="63"/>
      <c r="X39" s="63"/>
      <c r="Y39" s="63"/>
    </row>
    <row r="40" spans="2:27" x14ac:dyDescent="0.35">
      <c r="D40"/>
      <c r="E40" s="29"/>
      <c r="H40" s="63"/>
      <c r="J40" s="63"/>
      <c r="K40" s="63"/>
      <c r="L40" s="63"/>
      <c r="M40" s="63"/>
      <c r="N40" s="63"/>
      <c r="O40" s="63"/>
      <c r="P40" s="63"/>
      <c r="Q40" s="63"/>
      <c r="R40" s="63"/>
      <c r="S40" s="63"/>
      <c r="T40" s="63"/>
      <c r="U40" s="63"/>
      <c r="V40" s="63"/>
      <c r="W40" s="63"/>
      <c r="X40" s="63"/>
      <c r="Y40" s="63"/>
    </row>
    <row r="41" spans="2:27" x14ac:dyDescent="0.35">
      <c r="D41"/>
      <c r="E41" s="32" t="s">
        <v>645</v>
      </c>
      <c r="H41" s="63"/>
      <c r="I41" t="s">
        <v>154</v>
      </c>
      <c r="J41" s="63"/>
      <c r="K41" s="63"/>
      <c r="L41" s="63"/>
      <c r="M41" s="63"/>
      <c r="N41" s="63"/>
      <c r="O41" s="63"/>
      <c r="P41" s="63"/>
      <c r="Q41" s="63"/>
      <c r="R41" s="63"/>
      <c r="S41" s="63"/>
      <c r="T41" s="63"/>
      <c r="U41" s="63"/>
      <c r="V41" s="63"/>
      <c r="W41" s="63"/>
      <c r="X41" s="63"/>
      <c r="Y41" s="63"/>
      <c r="AA41" t="s">
        <v>646</v>
      </c>
    </row>
    <row r="42" spans="2:27" x14ac:dyDescent="0.35">
      <c r="D42"/>
      <c r="E42" s="88"/>
      <c r="F42" s="23" t="s">
        <v>376</v>
      </c>
      <c r="G42" s="23" t="s">
        <v>270</v>
      </c>
      <c r="H42" s="174"/>
      <c r="I42" s="23"/>
      <c r="J42" s="101">
        <f t="shared" ref="J42:K42" si="0">J25 * $H$35 / days_in_year * hundred</f>
        <v>3.9885423344707469</v>
      </c>
      <c r="K42" s="101">
        <f t="shared" si="0"/>
        <v>0</v>
      </c>
      <c r="L42" s="101">
        <f t="shared" ref="L42:M42" si="1">L25 * $H$35 / days_in_year * hundred</f>
        <v>7.0682227383194833</v>
      </c>
      <c r="M42" s="101">
        <f t="shared" si="1"/>
        <v>0</v>
      </c>
      <c r="N42" s="101">
        <f t="shared" ref="N42:P42" si="2">N25 * $H$35 / days_in_year * hundred</f>
        <v>27.1234520849282</v>
      </c>
      <c r="O42" s="101">
        <f t="shared" si="2"/>
        <v>63.777155343839667</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35">
      <c r="D43"/>
      <c r="E43" s="88"/>
      <c r="F43" t="s">
        <v>377</v>
      </c>
      <c r="G43" t="s">
        <v>270</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322.05936254955475</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526.69511172822524</v>
      </c>
      <c r="Y43" s="121">
        <f t="shared" si="13"/>
        <v>526.69511172822524</v>
      </c>
    </row>
    <row r="44" spans="2:27" x14ac:dyDescent="0.35">
      <c r="D44"/>
      <c r="E44" s="88"/>
      <c r="F44" s="37" t="s">
        <v>553</v>
      </c>
      <c r="G44" s="37" t="s">
        <v>269</v>
      </c>
      <c r="H44" s="269"/>
      <c r="I44" s="269"/>
      <c r="J44" s="270"/>
      <c r="K44" s="270"/>
      <c r="L44" s="270"/>
      <c r="M44" s="270"/>
      <c r="N44" s="270"/>
      <c r="O44" s="270"/>
      <c r="P44" s="270"/>
      <c r="Q44" s="277">
        <f t="shared" ref="Q44" si="14">Q27*$H$35/ten</f>
        <v>2.564029683035268</v>
      </c>
      <c r="R44" s="270"/>
      <c r="S44" s="270"/>
      <c r="T44" s="270"/>
      <c r="U44" s="270"/>
      <c r="V44" s="270"/>
      <c r="W44" s="270"/>
      <c r="X44" s="270"/>
      <c r="Y44" s="270"/>
      <c r="Z44" s="267"/>
      <c r="AA44" s="267"/>
    </row>
    <row r="45" spans="2:27" x14ac:dyDescent="0.35">
      <c r="D45" s="88"/>
      <c r="E45"/>
    </row>
    <row r="46" spans="2:27" x14ac:dyDescent="0.35">
      <c r="B46" s="30" t="s">
        <v>231</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35">
      <c r="E48" t="s">
        <v>232</v>
      </c>
      <c r="G48" s="6" t="s">
        <v>55</v>
      </c>
      <c r="H48" s="103">
        <f t="array" ref="H48">SUM(IF(ISERROR(H19:Y45), 1))</f>
        <v>0</v>
      </c>
    </row>
    <row r="50" spans="2:27" x14ac:dyDescent="0.35">
      <c r="B50" s="30" t="s">
        <v>106</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Unit rate charges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H223 &amp; IF(H223 = 1, " issue", " issues") &amp;" identified in checks on this sheet"</f>
        <v>0 issues identified in checks on this sheet</v>
      </c>
      <c r="B4" s="13"/>
      <c r="C4" s="13"/>
      <c r="D4" s="13"/>
      <c r="E4" s="13"/>
      <c r="F4" s="13"/>
      <c r="G4" s="13"/>
      <c r="H4" s="14"/>
      <c r="I4" s="14"/>
    </row>
    <row r="5" spans="1:27" ht="43.5" x14ac:dyDescent="0.35">
      <c r="B5" s="59" t="s">
        <v>142</v>
      </c>
      <c r="C5" s="60"/>
      <c r="D5" s="60"/>
      <c r="E5" s="60"/>
      <c r="F5" s="60"/>
      <c r="G5" s="61" t="s">
        <v>143</v>
      </c>
      <c r="H5" s="62" t="s">
        <v>144</v>
      </c>
      <c r="I5" s="14"/>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5">
      <c r="C9" s="29" t="s">
        <v>647</v>
      </c>
      <c r="D9"/>
    </row>
    <row r="10" spans="1:27" x14ac:dyDescent="0.35">
      <c r="C10" s="29" t="s">
        <v>648</v>
      </c>
      <c r="D10"/>
      <c r="E10"/>
    </row>
    <row r="11" spans="1:27" x14ac:dyDescent="0.35">
      <c r="C11" s="29" t="s">
        <v>649</v>
      </c>
      <c r="D11"/>
      <c r="E11"/>
    </row>
    <row r="12" spans="1:27" x14ac:dyDescent="0.35">
      <c r="C12" s="29" t="s">
        <v>650</v>
      </c>
    </row>
    <row r="13" spans="1:27" x14ac:dyDescent="0.35">
      <c r="C13" s="29" t="s">
        <v>651</v>
      </c>
      <c r="D13"/>
    </row>
    <row r="15" spans="1:27" x14ac:dyDescent="0.35">
      <c r="B15" s="30" t="s">
        <v>652</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35">
      <c r="C17" s="29" t="s">
        <v>653</v>
      </c>
    </row>
    <row r="19" spans="3:27" x14ac:dyDescent="0.3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35">
      <c r="C20" s="32"/>
      <c r="D20"/>
      <c r="E20" s="32"/>
    </row>
    <row r="21" spans="3:27" x14ac:dyDescent="0.35">
      <c r="D21"/>
      <c r="E21" s="32" t="s">
        <v>621</v>
      </c>
    </row>
    <row r="22" spans="3:27" x14ac:dyDescent="0.35">
      <c r="D22"/>
      <c r="F22" s="23" t="s">
        <v>189</v>
      </c>
      <c r="G22" s="23" t="s">
        <v>269</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7"/>
      <c r="AA22" s="267"/>
    </row>
    <row r="23" spans="3:27" x14ac:dyDescent="0.35">
      <c r="D23"/>
      <c r="F23" t="s">
        <v>191</v>
      </c>
      <c r="G23" t="s">
        <v>269</v>
      </c>
      <c r="H23" s="267"/>
      <c r="I23" s="267"/>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7"/>
      <c r="AA23" s="267"/>
    </row>
    <row r="24" spans="3:27" x14ac:dyDescent="0.35">
      <c r="D24"/>
      <c r="F24" t="s">
        <v>192</v>
      </c>
      <c r="G24" t="s">
        <v>269</v>
      </c>
      <c r="H24" s="267"/>
      <c r="I24" s="267"/>
      <c r="J24" s="279">
        <f>'Initial unit rates'!J154</f>
        <v>0</v>
      </c>
      <c r="K24" s="279">
        <f>'Initial unit rates'!K154</f>
        <v>0</v>
      </c>
      <c r="L24" s="279">
        <f>'Initial unit rates'!L154</f>
        <v>0</v>
      </c>
      <c r="M24" s="279">
        <f>'Initial unit rates'!M154</f>
        <v>0</v>
      </c>
      <c r="N24" s="279">
        <f>'Initial unit rates'!N154</f>
        <v>0</v>
      </c>
      <c r="O24" s="279">
        <f>'Initial unit rates'!O154</f>
        <v>0</v>
      </c>
      <c r="P24" s="279">
        <f>'Initial unit rates'!P154</f>
        <v>0</v>
      </c>
      <c r="Q24" s="279">
        <f>'Initial unit rates'!Q154</f>
        <v>0</v>
      </c>
      <c r="R24" s="279">
        <f>'Initial unit rates'!R154</f>
        <v>0</v>
      </c>
      <c r="S24" s="279">
        <f>'Initial unit rates'!S154</f>
        <v>0</v>
      </c>
      <c r="T24" s="279">
        <f>'Initial unit rates'!T154</f>
        <v>0</v>
      </c>
      <c r="U24" s="279">
        <f>'Initial unit rates'!U154</f>
        <v>0</v>
      </c>
      <c r="V24" s="279">
        <f>'Initial unit rates'!V154</f>
        <v>0</v>
      </c>
      <c r="W24" s="279">
        <f>'Initial unit rates'!W154</f>
        <v>0</v>
      </c>
      <c r="X24" s="279">
        <f>'Initial unit rates'!X154</f>
        <v>0</v>
      </c>
      <c r="Y24" s="279">
        <f>'Initial unit rates'!Y154</f>
        <v>0</v>
      </c>
      <c r="Z24" s="267"/>
      <c r="AA24" s="267"/>
    </row>
    <row r="25" spans="3:27" x14ac:dyDescent="0.35">
      <c r="D25"/>
      <c r="F25" t="s">
        <v>193</v>
      </c>
      <c r="G25" t="s">
        <v>269</v>
      </c>
      <c r="H25" s="267"/>
      <c r="I25" s="267"/>
      <c r="J25" s="279">
        <f>'Initial unit rates'!J155</f>
        <v>0</v>
      </c>
      <c r="K25" s="279">
        <f>'Initial unit rates'!K155</f>
        <v>0</v>
      </c>
      <c r="L25" s="279">
        <f>'Initial unit rates'!L155</f>
        <v>0</v>
      </c>
      <c r="M25" s="279">
        <f>'Initial unit rates'!M155</f>
        <v>0</v>
      </c>
      <c r="N25" s="279">
        <f>'Initial unit rates'!N155</f>
        <v>0</v>
      </c>
      <c r="O25" s="279">
        <f>'Initial unit rates'!O155</f>
        <v>0</v>
      </c>
      <c r="P25" s="279">
        <f>'Initial unit rates'!P155</f>
        <v>0</v>
      </c>
      <c r="Q25" s="279">
        <f>'Initial unit rates'!Q155</f>
        <v>0</v>
      </c>
      <c r="R25" s="279">
        <f>'Initial unit rates'!R155</f>
        <v>0</v>
      </c>
      <c r="S25" s="279">
        <f>'Initial unit rates'!S155</f>
        <v>0</v>
      </c>
      <c r="T25" s="279">
        <f>'Initial unit rates'!T155</f>
        <v>0</v>
      </c>
      <c r="U25" s="279">
        <f>'Initial unit rates'!U155</f>
        <v>0</v>
      </c>
      <c r="V25" s="279">
        <f>'Initial unit rates'!V155</f>
        <v>0</v>
      </c>
      <c r="W25" s="279">
        <f>'Initial unit rates'!W155</f>
        <v>0</v>
      </c>
      <c r="X25" s="279">
        <f>'Initial unit rates'!X155</f>
        <v>0</v>
      </c>
      <c r="Y25" s="279">
        <f>'Initial unit rates'!Y155</f>
        <v>0</v>
      </c>
      <c r="Z25" s="267"/>
      <c r="AA25" s="267"/>
    </row>
    <row r="26" spans="3:27" x14ac:dyDescent="0.35">
      <c r="D26"/>
      <c r="F26" t="s">
        <v>194</v>
      </c>
      <c r="G26" t="s">
        <v>269</v>
      </c>
      <c r="H26" s="267"/>
      <c r="I26" s="267"/>
      <c r="J26" s="279">
        <f>'Initial unit rates'!J156</f>
        <v>0.70661953549366363</v>
      </c>
      <c r="K26" s="279">
        <f>'Initial unit rates'!K156</f>
        <v>0.70661953549366363</v>
      </c>
      <c r="L26" s="279">
        <f>'Initial unit rates'!L156</f>
        <v>0.81087058992335737</v>
      </c>
      <c r="M26" s="279">
        <f>'Initial unit rates'!M156</f>
        <v>0.81087058992335737</v>
      </c>
      <c r="N26" s="279">
        <f>'Initial unit rates'!N156</f>
        <v>0.68868732402931865</v>
      </c>
      <c r="O26" s="279">
        <f>'Initial unit rates'!O156</f>
        <v>0.56722596501472244</v>
      </c>
      <c r="P26" s="279">
        <f>'Initial unit rates'!P156</f>
        <v>0.57930737887040351</v>
      </c>
      <c r="Q26" s="279">
        <f>'Initial unit rates'!Q156</f>
        <v>0.98148265327613793</v>
      </c>
      <c r="R26" s="279">
        <f>'Initial unit rates'!R156</f>
        <v>-0.54626041296717243</v>
      </c>
      <c r="S26" s="279">
        <f>'Initial unit rates'!S156</f>
        <v>-0.52737242780543203</v>
      </c>
      <c r="T26" s="279">
        <f>'Initial unit rates'!T156</f>
        <v>-0.54626041296717243</v>
      </c>
      <c r="U26" s="279">
        <f>'Initial unit rates'!U156</f>
        <v>-0.54626041296717243</v>
      </c>
      <c r="V26" s="279">
        <f>'Initial unit rates'!V156</f>
        <v>-0.52737242780543203</v>
      </c>
      <c r="W26" s="279">
        <f>'Initial unit rates'!W156</f>
        <v>-0.52737242780543203</v>
      </c>
      <c r="X26" s="279">
        <f>'Initial unit rates'!X156</f>
        <v>-0.51271229184236466</v>
      </c>
      <c r="Y26" s="279">
        <f>'Initial unit rates'!Y156</f>
        <v>-0.51271229184236466</v>
      </c>
      <c r="Z26" s="267"/>
      <c r="AA26" s="267"/>
    </row>
    <row r="27" spans="3:27" x14ac:dyDescent="0.35">
      <c r="D27"/>
      <c r="F27" t="s">
        <v>195</v>
      </c>
      <c r="G27" t="s">
        <v>269</v>
      </c>
      <c r="H27" s="267"/>
      <c r="I27" s="267"/>
      <c r="J27" s="279">
        <f>'Initial unit rates'!J157</f>
        <v>0.64080881864913986</v>
      </c>
      <c r="K27" s="279">
        <f>'Initial unit rates'!K157</f>
        <v>0.64080881864913986</v>
      </c>
      <c r="L27" s="279">
        <f>'Initial unit rates'!L157</f>
        <v>0.73535049443984291</v>
      </c>
      <c r="M27" s="279">
        <f>'Initial unit rates'!M157</f>
        <v>0.73535049443984291</v>
      </c>
      <c r="N27" s="279">
        <f>'Initial unit rates'!N157</f>
        <v>0.62454671624886371</v>
      </c>
      <c r="O27" s="279">
        <f>'Initial unit rates'!O157</f>
        <v>0.51439761044005572</v>
      </c>
      <c r="P27" s="279">
        <f>'Initial unit rates'!P157</f>
        <v>0.52634614917297207</v>
      </c>
      <c r="Q27" s="279">
        <f>'Initial unit rates'!Q157</f>
        <v>0.89007267415994773</v>
      </c>
      <c r="R27" s="279">
        <f>'Initial unit rates'!R157</f>
        <v>-0.4953846763714671</v>
      </c>
      <c r="S27" s="279">
        <f>'Initial unit rates'!S157</f>
        <v>-0.47825581585998783</v>
      </c>
      <c r="T27" s="279">
        <f>'Initial unit rates'!T157</f>
        <v>-0.4953846763714671</v>
      </c>
      <c r="U27" s="279">
        <f>'Initial unit rates'!U157</f>
        <v>-0.4953846763714671</v>
      </c>
      <c r="V27" s="279">
        <f>'Initial unit rates'!V157</f>
        <v>-0.47825581585998783</v>
      </c>
      <c r="W27" s="279">
        <f>'Initial unit rates'!W157</f>
        <v>-0.47825581585998783</v>
      </c>
      <c r="X27" s="279">
        <f>'Initial unit rates'!X157</f>
        <v>-0.46583929410857516</v>
      </c>
      <c r="Y27" s="279">
        <f>'Initial unit rates'!Y157</f>
        <v>-0.46583929410857516</v>
      </c>
      <c r="Z27" s="267"/>
      <c r="AA27" s="267"/>
    </row>
    <row r="28" spans="3:27" x14ac:dyDescent="0.35">
      <c r="D28"/>
      <c r="F28" t="s">
        <v>196</v>
      </c>
      <c r="G28" t="s">
        <v>269</v>
      </c>
      <c r="H28" s="267"/>
      <c r="I28" s="267"/>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7"/>
      <c r="AA28" s="267"/>
    </row>
    <row r="29" spans="3:27" x14ac:dyDescent="0.35">
      <c r="D29"/>
      <c r="F29" t="s">
        <v>197</v>
      </c>
      <c r="G29" t="s">
        <v>269</v>
      </c>
      <c r="H29" s="267"/>
      <c r="I29" s="267"/>
      <c r="J29" s="279">
        <f>'Initial unit rates'!J159</f>
        <v>1.3546821454642599</v>
      </c>
      <c r="K29" s="279">
        <f>'Initial unit rates'!K159</f>
        <v>1.3546821454642599</v>
      </c>
      <c r="L29" s="279">
        <f>'Initial unit rates'!L159</f>
        <v>1.5545450631842797</v>
      </c>
      <c r="M29" s="279">
        <f>'Initial unit rates'!M159</f>
        <v>1.5545450631842797</v>
      </c>
      <c r="N29" s="279">
        <f>'Initial unit rates'!N159</f>
        <v>1.3203037487752036</v>
      </c>
      <c r="O29" s="279">
        <f>'Initial unit rates'!O159</f>
        <v>1.0874464243510431</v>
      </c>
      <c r="P29" s="279">
        <f>'Initial unit rates'!P159</f>
        <v>1.1869501309042025</v>
      </c>
      <c r="Q29" s="279">
        <f>'Initial unit rates'!Q159</f>
        <v>1.8546643190512213</v>
      </c>
      <c r="R29" s="279">
        <f>'Initial unit rates'!R159</f>
        <v>-1.0472527167021659</v>
      </c>
      <c r="S29" s="279">
        <f>'Initial unit rates'!S159</f>
        <v>-1.0110419767252028</v>
      </c>
      <c r="T29" s="279">
        <f>'Initial unit rates'!T159</f>
        <v>-1.0472527167021659</v>
      </c>
      <c r="U29" s="279">
        <f>'Initial unit rates'!U159</f>
        <v>-1.0472527167021659</v>
      </c>
      <c r="V29" s="279">
        <f>'Initial unit rates'!V159</f>
        <v>-1.0110419767252028</v>
      </c>
      <c r="W29" s="279">
        <f>'Initial unit rates'!W159</f>
        <v>-1.0110419767252028</v>
      </c>
      <c r="X29" s="279">
        <f>'Initial unit rates'!X159</f>
        <v>0</v>
      </c>
      <c r="Y29" s="279">
        <f>'Initial unit rates'!Y159</f>
        <v>0</v>
      </c>
      <c r="Z29" s="267"/>
      <c r="AA29" s="267"/>
    </row>
    <row r="30" spans="3:27" x14ac:dyDescent="0.35">
      <c r="D30"/>
      <c r="F30" t="s">
        <v>198</v>
      </c>
      <c r="G30" t="s">
        <v>269</v>
      </c>
      <c r="H30" s="267"/>
      <c r="I30" s="267"/>
      <c r="J30" s="279">
        <f>'Initial unit rates'!J160</f>
        <v>0.12407037170954449</v>
      </c>
      <c r="K30" s="279">
        <f>'Initial unit rates'!K160</f>
        <v>0.12407037170954449</v>
      </c>
      <c r="L30" s="279">
        <f>'Initial unit rates'!L160</f>
        <v>0.1423750836860789</v>
      </c>
      <c r="M30" s="279">
        <f>'Initial unit rates'!M160</f>
        <v>0.1423750836860789</v>
      </c>
      <c r="N30" s="279">
        <f>'Initial unit rates'!N160</f>
        <v>0.12092178038111326</v>
      </c>
      <c r="O30" s="279">
        <f>'Initial unit rates'!O160</f>
        <v>9.9595231645435822E-2</v>
      </c>
      <c r="P30" s="279">
        <f>'Initial unit rates'!P160</f>
        <v>0</v>
      </c>
      <c r="Q30" s="279">
        <f>'Initial unit rates'!Q160</f>
        <v>0.16986190615382632</v>
      </c>
      <c r="R30" s="279">
        <f>'Initial unit rates'!R160</f>
        <v>-9.5914037303960295E-2</v>
      </c>
      <c r="S30" s="279">
        <f>'Initial unit rates'!S160</f>
        <v>0</v>
      </c>
      <c r="T30" s="279">
        <f>'Initial unit rates'!T160</f>
        <v>-9.5914037303960295E-2</v>
      </c>
      <c r="U30" s="279">
        <f>'Initial unit rates'!U160</f>
        <v>-9.5914037303960295E-2</v>
      </c>
      <c r="V30" s="279">
        <f>'Initial unit rates'!V160</f>
        <v>0</v>
      </c>
      <c r="W30" s="279">
        <f>'Initial unit rates'!W160</f>
        <v>0</v>
      </c>
      <c r="X30" s="279">
        <f>'Initial unit rates'!X160</f>
        <v>0</v>
      </c>
      <c r="Y30" s="279">
        <f>'Initial unit rates'!Y160</f>
        <v>0</v>
      </c>
      <c r="Z30" s="267"/>
      <c r="AA30" s="267"/>
    </row>
    <row r="31" spans="3:27" x14ac:dyDescent="0.35">
      <c r="D31"/>
      <c r="F31" t="s">
        <v>199</v>
      </c>
      <c r="G31" t="s">
        <v>269</v>
      </c>
      <c r="H31" s="267"/>
      <c r="I31" s="267"/>
      <c r="J31" s="279">
        <f>'Initial unit rates'!J161</f>
        <v>4.5057232846638116E-2</v>
      </c>
      <c r="K31" s="279">
        <f>'Initial unit rates'!K161</f>
        <v>4.5057232846638116E-2</v>
      </c>
      <c r="L31" s="279">
        <f>'Initial unit rates'!L161</f>
        <v>5.1704747949181402E-2</v>
      </c>
      <c r="M31" s="279">
        <f>'Initial unit rates'!M161</f>
        <v>5.1704747949181402E-2</v>
      </c>
      <c r="N31" s="279">
        <f>'Initial unit rates'!N161</f>
        <v>4.3913794565046203E-2</v>
      </c>
      <c r="O31" s="279">
        <f>'Initial unit rates'!O161</f>
        <v>0</v>
      </c>
      <c r="P31" s="279">
        <f>'Initial unit rates'!P161</f>
        <v>0</v>
      </c>
      <c r="Q31" s="279">
        <f>'Initial unit rates'!Q161</f>
        <v>6.1686826209113192E-2</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7"/>
      <c r="AA31" s="267"/>
    </row>
    <row r="32" spans="3:27" x14ac:dyDescent="0.35">
      <c r="D32"/>
      <c r="F32" s="23" t="s">
        <v>376</v>
      </c>
      <c r="G32" s="23" t="s">
        <v>269</v>
      </c>
      <c r="H32" s="266"/>
      <c r="I32" s="266"/>
      <c r="J32" s="280"/>
      <c r="K32" s="280"/>
      <c r="L32" s="280"/>
      <c r="M32" s="280"/>
      <c r="N32" s="280"/>
      <c r="O32" s="280"/>
      <c r="P32" s="280"/>
      <c r="Q32" s="280"/>
      <c r="R32" s="280"/>
      <c r="S32" s="280"/>
      <c r="T32" s="280"/>
      <c r="U32" s="280"/>
      <c r="V32" s="280"/>
      <c r="W32" s="280"/>
      <c r="X32" s="280"/>
      <c r="Y32" s="280"/>
      <c r="Z32" s="267"/>
      <c r="AA32" s="267"/>
    </row>
    <row r="33" spans="4:27" x14ac:dyDescent="0.35">
      <c r="D33"/>
      <c r="F33" s="37" t="s">
        <v>377</v>
      </c>
      <c r="G33" s="37" t="s">
        <v>269</v>
      </c>
      <c r="H33" s="269"/>
      <c r="I33" s="269"/>
      <c r="J33" s="270"/>
      <c r="K33" s="270"/>
      <c r="L33" s="270"/>
      <c r="M33" s="270"/>
      <c r="N33" s="270"/>
      <c r="O33" s="270"/>
      <c r="P33" s="270"/>
      <c r="Q33" s="270"/>
      <c r="R33" s="270"/>
      <c r="S33" s="270"/>
      <c r="T33" s="270"/>
      <c r="U33" s="270"/>
      <c r="V33" s="270"/>
      <c r="W33" s="270"/>
      <c r="X33" s="270"/>
      <c r="Y33" s="270"/>
      <c r="Z33" s="267"/>
      <c r="AA33" s="267"/>
    </row>
    <row r="34" spans="4:27" x14ac:dyDescent="0.35">
      <c r="D34"/>
      <c r="J34" s="89"/>
      <c r="K34" s="89"/>
      <c r="L34" s="89"/>
      <c r="M34" s="89"/>
      <c r="N34" s="89"/>
      <c r="O34" s="89"/>
      <c r="P34" s="89"/>
      <c r="Q34" s="89"/>
      <c r="R34" s="89"/>
      <c r="S34" s="89"/>
      <c r="T34" s="89"/>
      <c r="U34" s="89"/>
      <c r="V34" s="89"/>
      <c r="W34" s="89"/>
      <c r="X34" s="89"/>
      <c r="Y34" s="89"/>
    </row>
    <row r="35" spans="4:27" x14ac:dyDescent="0.35">
      <c r="D35"/>
      <c r="E35" s="32" t="s">
        <v>622</v>
      </c>
      <c r="J35" s="89"/>
      <c r="K35" s="89"/>
      <c r="L35" s="89"/>
      <c r="M35" s="89"/>
      <c r="N35" s="89"/>
      <c r="O35" s="89"/>
      <c r="P35" s="89"/>
      <c r="Q35" s="89"/>
      <c r="R35" s="89"/>
      <c r="S35" s="89"/>
      <c r="T35" s="89"/>
      <c r="U35" s="89"/>
      <c r="V35" s="89"/>
      <c r="W35" s="89"/>
      <c r="X35" s="89"/>
      <c r="Y35" s="89"/>
    </row>
    <row r="36" spans="4:27" x14ac:dyDescent="0.35">
      <c r="D36"/>
      <c r="F36" s="23" t="s">
        <v>189</v>
      </c>
      <c r="G36" s="23" t="s">
        <v>269</v>
      </c>
      <c r="H36" s="266"/>
      <c r="I36" s="266"/>
      <c r="J36" s="278">
        <f>'Initial unit rates'!J164</f>
        <v>2.1089419394156224</v>
      </c>
      <c r="K36" s="278">
        <f>'Initial unit rates'!K164</f>
        <v>2.1089419394156224</v>
      </c>
      <c r="L36" s="278">
        <f>'Initial unit rates'!L164</f>
        <v>2.4200845131366866</v>
      </c>
      <c r="M36" s="278">
        <f>'Initial unit rates'!M164</f>
        <v>2.4200845131366866</v>
      </c>
      <c r="N36" s="278">
        <f>'Initial unit rates'!N164</f>
        <v>2.0554223423424869</v>
      </c>
      <c r="O36" s="278">
        <f>'Initial unit rates'!O164</f>
        <v>1.6929147393431689</v>
      </c>
      <c r="P36" s="278">
        <f>'Initial unit rates'!P164</f>
        <v>1.7381814352832692</v>
      </c>
      <c r="Q36" s="278">
        <f>'Initial unit rates'!Q164</f>
        <v>3.0680215527927208</v>
      </c>
      <c r="R36" s="278">
        <f>'Initial unit rates'!R164</f>
        <v>-1.6303419830363544</v>
      </c>
      <c r="S36" s="278">
        <f>'Initial unit rates'!S164</f>
        <v>-1.5739698307566623</v>
      </c>
      <c r="T36" s="278">
        <f>'Initial unit rates'!T164</f>
        <v>-1.6303419830363544</v>
      </c>
      <c r="U36" s="278">
        <f>'Initial unit rates'!U164</f>
        <v>-1.6303419830363544</v>
      </c>
      <c r="V36" s="278">
        <f>'Initial unit rates'!V164</f>
        <v>-1.5739698307566623</v>
      </c>
      <c r="W36" s="278">
        <f>'Initial unit rates'!W164</f>
        <v>-1.5739698307566623</v>
      </c>
      <c r="X36" s="278">
        <f>'Initial unit rates'!X164</f>
        <v>-1.5383663661589622</v>
      </c>
      <c r="Y36" s="278">
        <f>'Initial unit rates'!Y164</f>
        <v>-1.5383663661589622</v>
      </c>
      <c r="Z36" s="267"/>
      <c r="AA36" s="267"/>
    </row>
    <row r="37" spans="4:27" x14ac:dyDescent="0.35">
      <c r="D37"/>
      <c r="F37" t="s">
        <v>191</v>
      </c>
      <c r="G37" t="s">
        <v>269</v>
      </c>
      <c r="H37" s="267"/>
      <c r="I37" s="267"/>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7"/>
      <c r="AA37" s="267"/>
    </row>
    <row r="38" spans="4:27" x14ac:dyDescent="0.35">
      <c r="D38"/>
      <c r="F38" t="s">
        <v>192</v>
      </c>
      <c r="G38" t="s">
        <v>269</v>
      </c>
      <c r="H38" s="267"/>
      <c r="I38" s="267"/>
      <c r="J38" s="279">
        <f>'Initial unit rates'!J166</f>
        <v>0</v>
      </c>
      <c r="K38" s="279">
        <f>'Initial unit rates'!K166</f>
        <v>0</v>
      </c>
      <c r="L38" s="279">
        <f>'Initial unit rates'!L166</f>
        <v>0</v>
      </c>
      <c r="M38" s="279">
        <f>'Initial unit rates'!M166</f>
        <v>0</v>
      </c>
      <c r="N38" s="279">
        <f>'Initial unit rates'!N166</f>
        <v>0</v>
      </c>
      <c r="O38" s="279">
        <f>'Initial unit rates'!O166</f>
        <v>0</v>
      </c>
      <c r="P38" s="279">
        <f>'Initial unit rates'!P166</f>
        <v>0</v>
      </c>
      <c r="Q38" s="279">
        <f>'Initial unit rates'!Q166</f>
        <v>0</v>
      </c>
      <c r="R38" s="279">
        <f>'Initial unit rates'!R166</f>
        <v>0</v>
      </c>
      <c r="S38" s="279">
        <f>'Initial unit rates'!S166</f>
        <v>0</v>
      </c>
      <c r="T38" s="279">
        <f>'Initial unit rates'!T166</f>
        <v>0</v>
      </c>
      <c r="U38" s="279">
        <f>'Initial unit rates'!U166</f>
        <v>0</v>
      </c>
      <c r="V38" s="279">
        <f>'Initial unit rates'!V166</f>
        <v>0</v>
      </c>
      <c r="W38" s="279">
        <f>'Initial unit rates'!W166</f>
        <v>0</v>
      </c>
      <c r="X38" s="279">
        <f>'Initial unit rates'!X166</f>
        <v>0</v>
      </c>
      <c r="Y38" s="279">
        <f>'Initial unit rates'!Y166</f>
        <v>0</v>
      </c>
      <c r="Z38" s="267"/>
      <c r="AA38" s="267"/>
    </row>
    <row r="39" spans="4:27" x14ac:dyDescent="0.35">
      <c r="D39"/>
      <c r="F39" t="s">
        <v>193</v>
      </c>
      <c r="G39" t="s">
        <v>269</v>
      </c>
      <c r="H39" s="267"/>
      <c r="I39" s="267"/>
      <c r="J39" s="279">
        <f>'Initial unit rates'!J167</f>
        <v>0</v>
      </c>
      <c r="K39" s="279">
        <f>'Initial unit rates'!K167</f>
        <v>0</v>
      </c>
      <c r="L39" s="279">
        <f>'Initial unit rates'!L167</f>
        <v>0</v>
      </c>
      <c r="M39" s="279">
        <f>'Initial unit rates'!M167</f>
        <v>0</v>
      </c>
      <c r="N39" s="279">
        <f>'Initial unit rates'!N167</f>
        <v>0</v>
      </c>
      <c r="O39" s="279">
        <f>'Initial unit rates'!O167</f>
        <v>0</v>
      </c>
      <c r="P39" s="279">
        <f>'Initial unit rates'!P167</f>
        <v>0</v>
      </c>
      <c r="Q39" s="279">
        <f>'Initial unit rates'!Q167</f>
        <v>0</v>
      </c>
      <c r="R39" s="279">
        <f>'Initial unit rates'!R167</f>
        <v>0</v>
      </c>
      <c r="S39" s="279">
        <f>'Initial unit rates'!S167</f>
        <v>0</v>
      </c>
      <c r="T39" s="279">
        <f>'Initial unit rates'!T167</f>
        <v>0</v>
      </c>
      <c r="U39" s="279">
        <f>'Initial unit rates'!U167</f>
        <v>0</v>
      </c>
      <c r="V39" s="279">
        <f>'Initial unit rates'!V167</f>
        <v>0</v>
      </c>
      <c r="W39" s="279">
        <f>'Initial unit rates'!W167</f>
        <v>0</v>
      </c>
      <c r="X39" s="279">
        <f>'Initial unit rates'!X167</f>
        <v>0</v>
      </c>
      <c r="Y39" s="279">
        <f>'Initial unit rates'!Y167</f>
        <v>0</v>
      </c>
      <c r="Z39" s="267"/>
      <c r="AA39" s="267"/>
    </row>
    <row r="40" spans="4:27" x14ac:dyDescent="0.35">
      <c r="D40"/>
      <c r="F40" t="s">
        <v>194</v>
      </c>
      <c r="G40" t="s">
        <v>269</v>
      </c>
      <c r="H40" s="267"/>
      <c r="I40" s="267"/>
      <c r="J40" s="279">
        <f>'Initial unit rates'!J168</f>
        <v>0.63487767006422291</v>
      </c>
      <c r="K40" s="279">
        <f>'Initial unit rates'!K168</f>
        <v>0.63487767006422291</v>
      </c>
      <c r="L40" s="279">
        <f>'Initial unit rates'!L168</f>
        <v>0.72854429434149048</v>
      </c>
      <c r="M40" s="279">
        <f>'Initial unit rates'!M168</f>
        <v>0.72854429434149048</v>
      </c>
      <c r="N40" s="279">
        <f>'Initial unit rates'!N168</f>
        <v>0.61876608517062293</v>
      </c>
      <c r="O40" s="279">
        <f>'Initial unit rates'!O168</f>
        <v>0.50963648891604507</v>
      </c>
      <c r="P40" s="279">
        <f>'Initial unit rates'!P168</f>
        <v>0.52326361345315764</v>
      </c>
      <c r="Q40" s="279">
        <f>'Initial unit rates'!Q168</f>
        <v>0.88183440850538664</v>
      </c>
      <c r="R40" s="279">
        <f>'Initial unit rates'!R168</f>
        <v>-0.49079953328862996</v>
      </c>
      <c r="S40" s="279">
        <f>'Initial unit rates'!S168</f>
        <v>-0.47382921275635709</v>
      </c>
      <c r="T40" s="279">
        <f>'Initial unit rates'!T168</f>
        <v>-0.49079953328862996</v>
      </c>
      <c r="U40" s="279">
        <f>'Initial unit rates'!U168</f>
        <v>-0.49079953328862996</v>
      </c>
      <c r="V40" s="279">
        <f>'Initial unit rates'!V168</f>
        <v>-0.47382921275635709</v>
      </c>
      <c r="W40" s="279">
        <f>'Initial unit rates'!W168</f>
        <v>-0.47382921275635709</v>
      </c>
      <c r="X40" s="279">
        <f>'Initial unit rates'!X168</f>
        <v>-0.46311111557807938</v>
      </c>
      <c r="Y40" s="279">
        <f>'Initial unit rates'!Y168</f>
        <v>-0.46311111557807938</v>
      </c>
      <c r="Z40" s="267"/>
      <c r="AA40" s="267"/>
    </row>
    <row r="41" spans="4:27" x14ac:dyDescent="0.35">
      <c r="D41"/>
      <c r="F41" t="s">
        <v>195</v>
      </c>
      <c r="G41" t="s">
        <v>269</v>
      </c>
      <c r="H41" s="267"/>
      <c r="I41" s="267"/>
      <c r="J41" s="279">
        <f>'Initial unit rates'!J169</f>
        <v>0.57443497019628142</v>
      </c>
      <c r="K41" s="279">
        <f>'Initial unit rates'!K169</f>
        <v>0.57443497019628142</v>
      </c>
      <c r="L41" s="279">
        <f>'Initial unit rates'!L169</f>
        <v>0.65918418577296989</v>
      </c>
      <c r="M41" s="279">
        <f>'Initial unit rates'!M169</f>
        <v>0.65918418577296989</v>
      </c>
      <c r="N41" s="279">
        <f>'Initial unit rates'!N169</f>
        <v>0.55985726771190569</v>
      </c>
      <c r="O41" s="279">
        <f>'Initial unit rates'!O169</f>
        <v>0.46111721222107488</v>
      </c>
      <c r="P41" s="279">
        <f>'Initial unit rates'!P169</f>
        <v>0.47344698415421815</v>
      </c>
      <c r="Q41" s="279">
        <f>'Initial unit rates'!Q169</f>
        <v>0.79788051470861321</v>
      </c>
      <c r="R41" s="279">
        <f>'Initial unit rates'!R169</f>
        <v>-0.44407360436615023</v>
      </c>
      <c r="S41" s="279">
        <f>'Initial unit rates'!S169</f>
        <v>-0.42871892104866727</v>
      </c>
      <c r="T41" s="279">
        <f>'Initial unit rates'!T169</f>
        <v>-0.44407360436615023</v>
      </c>
      <c r="U41" s="279">
        <f>'Initial unit rates'!U169</f>
        <v>-0.44407360436615023</v>
      </c>
      <c r="V41" s="279">
        <f>'Initial unit rates'!V169</f>
        <v>-0.42871892104866727</v>
      </c>
      <c r="W41" s="279">
        <f>'Initial unit rates'!W169</f>
        <v>-0.42871892104866727</v>
      </c>
      <c r="X41" s="279">
        <f>'Initial unit rates'!X169</f>
        <v>-0.41902122632183597</v>
      </c>
      <c r="Y41" s="279">
        <f>'Initial unit rates'!Y169</f>
        <v>-0.41902122632183597</v>
      </c>
      <c r="Z41" s="267"/>
      <c r="AA41" s="267"/>
    </row>
    <row r="42" spans="4:27" x14ac:dyDescent="0.35">
      <c r="D42"/>
      <c r="F42" t="s">
        <v>196</v>
      </c>
      <c r="G42" t="s">
        <v>269</v>
      </c>
      <c r="H42" s="267"/>
      <c r="I42" s="267"/>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7"/>
      <c r="AA42" s="267"/>
    </row>
    <row r="43" spans="4:27" x14ac:dyDescent="0.35">
      <c r="D43"/>
      <c r="F43" t="s">
        <v>197</v>
      </c>
      <c r="G43" t="s">
        <v>269</v>
      </c>
      <c r="H43" s="267"/>
      <c r="I43" s="267"/>
      <c r="J43" s="279">
        <f>'Initial unit rates'!J171</f>
        <v>2.1039714561367351</v>
      </c>
      <c r="K43" s="279">
        <f>'Initial unit rates'!K171</f>
        <v>2.1039714561367351</v>
      </c>
      <c r="L43" s="279">
        <f>'Initial unit rates'!L171</f>
        <v>2.4143807100204313</v>
      </c>
      <c r="M43" s="279">
        <f>'Initial unit rates'!M171</f>
        <v>2.4143807100204313</v>
      </c>
      <c r="N43" s="279">
        <f>'Initial unit rates'!N171</f>
        <v>2.0505779973215446</v>
      </c>
      <c r="O43" s="279">
        <f>'Initial unit rates'!O171</f>
        <v>1.688924774400455</v>
      </c>
      <c r="P43" s="279">
        <f>'Initial unit rates'!P171</f>
        <v>1.7340847830244868</v>
      </c>
      <c r="Q43" s="279">
        <f>'Initial unit rates'!Q171</f>
        <v>2.8804991643716864</v>
      </c>
      <c r="R43" s="279">
        <f>'Initial unit rates'!R171</f>
        <v>-1.6264994933906718</v>
      </c>
      <c r="S43" s="279">
        <f>'Initial unit rates'!S171</f>
        <v>-1.5702602024454073</v>
      </c>
      <c r="T43" s="279">
        <f>'Initial unit rates'!T171</f>
        <v>-1.6264994933906718</v>
      </c>
      <c r="U43" s="279">
        <f>'Initial unit rates'!U171</f>
        <v>-1.6264994933906718</v>
      </c>
      <c r="V43" s="279">
        <f>'Initial unit rates'!V171</f>
        <v>-1.5702602024454073</v>
      </c>
      <c r="W43" s="279">
        <f>'Initial unit rates'!W171</f>
        <v>-1.5702602024454073</v>
      </c>
      <c r="X43" s="279">
        <f>'Initial unit rates'!X171</f>
        <v>0</v>
      </c>
      <c r="Y43" s="279">
        <f>'Initial unit rates'!Y171</f>
        <v>0</v>
      </c>
      <c r="Z43" s="267"/>
      <c r="AA43" s="267"/>
    </row>
    <row r="44" spans="4:27" x14ac:dyDescent="0.35">
      <c r="D44"/>
      <c r="F44" t="s">
        <v>198</v>
      </c>
      <c r="G44" t="s">
        <v>269</v>
      </c>
      <c r="H44" s="267"/>
      <c r="I44" s="267"/>
      <c r="J44" s="279">
        <f>'Initial unit rates'!J172</f>
        <v>0.5094799834224627</v>
      </c>
      <c r="K44" s="279">
        <f>'Initial unit rates'!K172</f>
        <v>0.5094799834224627</v>
      </c>
      <c r="L44" s="279">
        <f>'Initial unit rates'!L172</f>
        <v>0.5846460704250076</v>
      </c>
      <c r="M44" s="279">
        <f>'Initial unit rates'!M172</f>
        <v>0.5846460704250076</v>
      </c>
      <c r="N44" s="279">
        <f>'Initial unit rates'!N172</f>
        <v>0.4965506737435279</v>
      </c>
      <c r="O44" s="279">
        <f>'Initial unit rates'!O172</f>
        <v>0.4089757793783535</v>
      </c>
      <c r="P44" s="279">
        <f>'Initial unit rates'!P172</f>
        <v>0</v>
      </c>
      <c r="Q44" s="279">
        <f>'Initial unit rates'!Q172</f>
        <v>0.6975173841983574</v>
      </c>
      <c r="R44" s="279">
        <f>'Initial unit rates'!R172</f>
        <v>-0.39385939980901963</v>
      </c>
      <c r="S44" s="279">
        <f>'Initial unit rates'!S172</f>
        <v>0</v>
      </c>
      <c r="T44" s="279">
        <f>'Initial unit rates'!T172</f>
        <v>-0.39385939980901963</v>
      </c>
      <c r="U44" s="279">
        <f>'Initial unit rates'!U172</f>
        <v>-0.39385939980901963</v>
      </c>
      <c r="V44" s="279">
        <f>'Initial unit rates'!V172</f>
        <v>0</v>
      </c>
      <c r="W44" s="279">
        <f>'Initial unit rates'!W172</f>
        <v>0</v>
      </c>
      <c r="X44" s="279">
        <f>'Initial unit rates'!X172</f>
        <v>0</v>
      </c>
      <c r="Y44" s="279">
        <f>'Initial unit rates'!Y172</f>
        <v>0</v>
      </c>
      <c r="Z44" s="267"/>
      <c r="AA44" s="267"/>
    </row>
    <row r="45" spans="4:27" x14ac:dyDescent="0.35">
      <c r="D45"/>
      <c r="F45" t="s">
        <v>199</v>
      </c>
      <c r="G45" t="s">
        <v>269</v>
      </c>
      <c r="H45" s="267"/>
      <c r="I45" s="267"/>
      <c r="J45" s="279">
        <f>'Initial unit rates'!J173</f>
        <v>1.2094081614594394</v>
      </c>
      <c r="K45" s="279">
        <f>'Initial unit rates'!K173</f>
        <v>1.2094081614594394</v>
      </c>
      <c r="L45" s="279">
        <f>'Initial unit rates'!L173</f>
        <v>1.3878380940255399</v>
      </c>
      <c r="M45" s="279">
        <f>'Initial unit rates'!M173</f>
        <v>1.3878380940255399</v>
      </c>
      <c r="N45" s="279">
        <f>'Initial unit rates'!N173</f>
        <v>1.178716449995725</v>
      </c>
      <c r="O45" s="279">
        <f>'Initial unit rates'!O173</f>
        <v>0</v>
      </c>
      <c r="P45" s="279">
        <f>'Initial unit rates'!P173</f>
        <v>0</v>
      </c>
      <c r="Q45" s="279">
        <f>'Initial unit rates'!Q173</f>
        <v>1.6557730326175162</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7"/>
      <c r="AA45" s="267"/>
    </row>
    <row r="46" spans="4:27" x14ac:dyDescent="0.35">
      <c r="D46"/>
      <c r="F46" s="23" t="s">
        <v>376</v>
      </c>
      <c r="G46" s="23" t="s">
        <v>269</v>
      </c>
      <c r="H46" s="266"/>
      <c r="I46" s="266" t="s">
        <v>154</v>
      </c>
      <c r="J46" s="280"/>
      <c r="K46" s="280"/>
      <c r="L46" s="280"/>
      <c r="M46" s="280"/>
      <c r="N46" s="280"/>
      <c r="O46" s="280"/>
      <c r="P46" s="280"/>
      <c r="Q46" s="278">
        <f>'Service model charges'!$Q$44</f>
        <v>2.564029683035268</v>
      </c>
      <c r="R46" s="280"/>
      <c r="S46" s="280"/>
      <c r="T46" s="280"/>
      <c r="U46" s="280"/>
      <c r="V46" s="280"/>
      <c r="W46" s="280"/>
      <c r="X46" s="280"/>
      <c r="Y46" s="280"/>
      <c r="Z46" s="267"/>
      <c r="AA46" s="267" t="s">
        <v>654</v>
      </c>
    </row>
    <row r="47" spans="4:27" x14ac:dyDescent="0.35">
      <c r="D47"/>
      <c r="F47" s="37" t="s">
        <v>377</v>
      </c>
      <c r="G47" s="37" t="s">
        <v>269</v>
      </c>
      <c r="H47" s="269"/>
      <c r="I47" s="269"/>
      <c r="J47" s="270"/>
      <c r="K47" s="270"/>
      <c r="L47" s="270"/>
      <c r="M47" s="270"/>
      <c r="N47" s="270"/>
      <c r="O47" s="270"/>
      <c r="P47" s="270"/>
      <c r="Q47" s="270"/>
      <c r="R47" s="270"/>
      <c r="S47" s="270"/>
      <c r="T47" s="270"/>
      <c r="U47" s="270"/>
      <c r="V47" s="270"/>
      <c r="W47" s="270"/>
      <c r="X47" s="270"/>
      <c r="Y47" s="270"/>
      <c r="Z47" s="267"/>
      <c r="AA47" s="267"/>
    </row>
    <row r="48" spans="4:27" x14ac:dyDescent="0.35">
      <c r="J48" s="89"/>
      <c r="K48" s="89"/>
      <c r="L48" s="89"/>
      <c r="M48" s="89"/>
      <c r="N48" s="89"/>
      <c r="O48" s="89"/>
      <c r="P48" s="89"/>
      <c r="Q48" s="89"/>
      <c r="R48" s="89"/>
      <c r="S48" s="89"/>
      <c r="T48" s="89"/>
      <c r="U48" s="89"/>
      <c r="V48" s="89"/>
      <c r="W48" s="89"/>
      <c r="X48" s="89"/>
      <c r="Y48" s="89"/>
    </row>
    <row r="49" spans="3:27" x14ac:dyDescent="0.3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35">
      <c r="C50" s="32"/>
      <c r="D50"/>
      <c r="E50" s="32"/>
      <c r="J50" s="89"/>
      <c r="K50" s="89"/>
      <c r="L50" s="89"/>
      <c r="M50" s="89"/>
      <c r="N50" s="89"/>
      <c r="O50" s="89"/>
      <c r="P50" s="89"/>
      <c r="Q50" s="89"/>
      <c r="R50" s="89"/>
      <c r="S50" s="89"/>
      <c r="T50" s="89"/>
      <c r="U50" s="89"/>
      <c r="V50" s="89"/>
      <c r="W50" s="89"/>
      <c r="X50" s="89"/>
      <c r="Y50" s="89"/>
    </row>
    <row r="51" spans="3:27" x14ac:dyDescent="0.35">
      <c r="D51"/>
      <c r="E51" s="32" t="s">
        <v>621</v>
      </c>
      <c r="J51" s="89"/>
      <c r="K51" s="89"/>
      <c r="L51" s="89"/>
      <c r="M51" s="89"/>
      <c r="N51" s="89"/>
      <c r="O51" s="89"/>
      <c r="P51" s="89"/>
      <c r="Q51" s="89"/>
      <c r="R51" s="89"/>
      <c r="S51" s="89"/>
      <c r="T51" s="89"/>
      <c r="U51" s="89"/>
      <c r="V51" s="89"/>
      <c r="W51" s="89"/>
      <c r="X51" s="89"/>
      <c r="Y51" s="89"/>
    </row>
    <row r="52" spans="3:27" x14ac:dyDescent="0.35">
      <c r="D52"/>
      <c r="F52" s="23" t="s">
        <v>189</v>
      </c>
      <c r="G52" s="23" t="s">
        <v>269</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7"/>
      <c r="AA52" s="267"/>
    </row>
    <row r="53" spans="3:27" x14ac:dyDescent="0.35">
      <c r="D53"/>
      <c r="F53" t="s">
        <v>191</v>
      </c>
      <c r="G53" t="s">
        <v>269</v>
      </c>
      <c r="H53" s="267"/>
      <c r="I53" s="267"/>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7"/>
      <c r="AA53" s="267"/>
    </row>
    <row r="54" spans="3:27" x14ac:dyDescent="0.35">
      <c r="D54"/>
      <c r="F54" t="s">
        <v>192</v>
      </c>
      <c r="G54" t="s">
        <v>269</v>
      </c>
      <c r="H54" s="267"/>
      <c r="I54" s="267"/>
      <c r="J54" s="279">
        <f>'Initial unit rates'!J183</f>
        <v>0</v>
      </c>
      <c r="K54" s="279">
        <f>'Initial unit rates'!K183</f>
        <v>0</v>
      </c>
      <c r="L54" s="279">
        <f>'Initial unit rates'!L183</f>
        <v>0</v>
      </c>
      <c r="M54" s="279">
        <f>'Initial unit rates'!M183</f>
        <v>0</v>
      </c>
      <c r="N54" s="279">
        <f>'Initial unit rates'!N183</f>
        <v>0</v>
      </c>
      <c r="O54" s="279">
        <f>'Initial unit rates'!O183</f>
        <v>0</v>
      </c>
      <c r="P54" s="279">
        <f>'Initial unit rates'!P183</f>
        <v>0</v>
      </c>
      <c r="Q54" s="279">
        <f>'Initial unit rates'!Q183</f>
        <v>0</v>
      </c>
      <c r="R54" s="279">
        <f>'Initial unit rates'!R183</f>
        <v>0</v>
      </c>
      <c r="S54" s="279">
        <f>'Initial unit rates'!S183</f>
        <v>0</v>
      </c>
      <c r="T54" s="279">
        <f>'Initial unit rates'!T183</f>
        <v>0</v>
      </c>
      <c r="U54" s="279">
        <f>'Initial unit rates'!U183</f>
        <v>0</v>
      </c>
      <c r="V54" s="279">
        <f>'Initial unit rates'!V183</f>
        <v>0</v>
      </c>
      <c r="W54" s="279">
        <f>'Initial unit rates'!W183</f>
        <v>0</v>
      </c>
      <c r="X54" s="279">
        <f>'Initial unit rates'!X183</f>
        <v>0</v>
      </c>
      <c r="Y54" s="279">
        <f>'Initial unit rates'!Y183</f>
        <v>0</v>
      </c>
      <c r="Z54" s="267"/>
      <c r="AA54" s="267"/>
    </row>
    <row r="55" spans="3:27" x14ac:dyDescent="0.35">
      <c r="D55"/>
      <c r="F55" t="s">
        <v>193</v>
      </c>
      <c r="G55" t="s">
        <v>269</v>
      </c>
      <c r="H55" s="267"/>
      <c r="I55" s="267"/>
      <c r="J55" s="279">
        <f>'Initial unit rates'!J184</f>
        <v>0</v>
      </c>
      <c r="K55" s="279">
        <f>'Initial unit rates'!K184</f>
        <v>0</v>
      </c>
      <c r="L55" s="279">
        <f>'Initial unit rates'!L184</f>
        <v>0</v>
      </c>
      <c r="M55" s="279">
        <f>'Initial unit rates'!M184</f>
        <v>0</v>
      </c>
      <c r="N55" s="279">
        <f>'Initial unit rates'!N184</f>
        <v>0</v>
      </c>
      <c r="O55" s="279">
        <f>'Initial unit rates'!O184</f>
        <v>0</v>
      </c>
      <c r="P55" s="279">
        <f>'Initial unit rates'!P184</f>
        <v>0</v>
      </c>
      <c r="Q55" s="279">
        <f>'Initial unit rates'!Q184</f>
        <v>0</v>
      </c>
      <c r="R55" s="279">
        <f>'Initial unit rates'!R184</f>
        <v>0</v>
      </c>
      <c r="S55" s="279">
        <f>'Initial unit rates'!S184</f>
        <v>0</v>
      </c>
      <c r="T55" s="279">
        <f>'Initial unit rates'!T184</f>
        <v>0</v>
      </c>
      <c r="U55" s="279">
        <f>'Initial unit rates'!U184</f>
        <v>0</v>
      </c>
      <c r="V55" s="279">
        <f>'Initial unit rates'!V184</f>
        <v>0</v>
      </c>
      <c r="W55" s="279">
        <f>'Initial unit rates'!W184</f>
        <v>0</v>
      </c>
      <c r="X55" s="279">
        <f>'Initial unit rates'!X184</f>
        <v>0</v>
      </c>
      <c r="Y55" s="279">
        <f>'Initial unit rates'!Y184</f>
        <v>0</v>
      </c>
      <c r="Z55" s="267"/>
      <c r="AA55" s="267"/>
    </row>
    <row r="56" spans="3:27" x14ac:dyDescent="0.35">
      <c r="D56"/>
      <c r="F56" t="s">
        <v>194</v>
      </c>
      <c r="G56" t="s">
        <v>269</v>
      </c>
      <c r="H56" s="267"/>
      <c r="I56" s="267"/>
      <c r="J56" s="279">
        <f>'Initial unit rates'!J185</f>
        <v>0.13922745039619644</v>
      </c>
      <c r="K56" s="279">
        <f>'Initial unit rates'!K185</f>
        <v>0.13922745039619644</v>
      </c>
      <c r="L56" s="279">
        <f>'Initial unit rates'!L185</f>
        <v>0.15976836071679926</v>
      </c>
      <c r="M56" s="279">
        <f>'Initial unit rates'!M185</f>
        <v>0.15976836071679926</v>
      </c>
      <c r="N56" s="279">
        <f>'Initial unit rates'!N185</f>
        <v>0.13569421085675748</v>
      </c>
      <c r="O56" s="279">
        <f>'Initial unit rates'!O185</f>
        <v>0.11176230056015779</v>
      </c>
      <c r="P56" s="279">
        <f>'Initial unit rates'!P185</f>
        <v>0.11414273920332751</v>
      </c>
      <c r="Q56" s="279">
        <f>'Initial unit rates'!Q185</f>
        <v>9.4468507094144769E-2</v>
      </c>
      <c r="R56" s="279">
        <f>'Initial unit rates'!R185</f>
        <v>-0.10763139246731847</v>
      </c>
      <c r="S56" s="279">
        <f>'Initial unit rates'!S185</f>
        <v>-0.10390983385607359</v>
      </c>
      <c r="T56" s="279">
        <f>'Initial unit rates'!T185</f>
        <v>-0.10763139246731847</v>
      </c>
      <c r="U56" s="279">
        <f>'Initial unit rates'!U185</f>
        <v>-0.10763139246731847</v>
      </c>
      <c r="V56" s="279">
        <f>'Initial unit rates'!V185</f>
        <v>-0.10390983385607359</v>
      </c>
      <c r="W56" s="279">
        <f>'Initial unit rates'!W185</f>
        <v>-0.10390983385607359</v>
      </c>
      <c r="X56" s="279">
        <f>'Initial unit rates'!X185</f>
        <v>-0.10102130155534475</v>
      </c>
      <c r="Y56" s="279">
        <f>'Initial unit rates'!Y185</f>
        <v>-0.10102130155534475</v>
      </c>
      <c r="Z56" s="267"/>
      <c r="AA56" s="267"/>
    </row>
    <row r="57" spans="3:27" x14ac:dyDescent="0.35">
      <c r="D57"/>
      <c r="F57" t="s">
        <v>195</v>
      </c>
      <c r="G57" t="s">
        <v>269</v>
      </c>
      <c r="H57" s="267"/>
      <c r="I57" s="267"/>
      <c r="J57" s="279">
        <f>'Initial unit rates'!J186</f>
        <v>0.12626055965122468</v>
      </c>
      <c r="K57" s="279">
        <f>'Initial unit rates'!K186</f>
        <v>0.12626055965122468</v>
      </c>
      <c r="L57" s="279">
        <f>'Initial unit rates'!L186</f>
        <v>0.14488840082367044</v>
      </c>
      <c r="M57" s="279">
        <f>'Initial unit rates'!M186</f>
        <v>0.14488840082367044</v>
      </c>
      <c r="N57" s="279">
        <f>'Initial unit rates'!N186</f>
        <v>0.12305638690826398</v>
      </c>
      <c r="O57" s="279">
        <f>'Initial unit rates'!O186</f>
        <v>0.10135336513365761</v>
      </c>
      <c r="P57" s="279">
        <f>'Initial unit rates'!P186</f>
        <v>0.10370762297706969</v>
      </c>
      <c r="Q57" s="279">
        <f>'Initial unit rates'!Q186</f>
        <v>8.567022193669542E-2</v>
      </c>
      <c r="R57" s="279">
        <f>'Initial unit rates'!R186</f>
        <v>-9.7607187449691948E-2</v>
      </c>
      <c r="S57" s="279">
        <f>'Initial unit rates'!S186</f>
        <v>-9.423223465343325E-2</v>
      </c>
      <c r="T57" s="279">
        <f>'Initial unit rates'!T186</f>
        <v>-9.7607187449691948E-2</v>
      </c>
      <c r="U57" s="279">
        <f>'Initial unit rates'!U186</f>
        <v>-9.7607187449691948E-2</v>
      </c>
      <c r="V57" s="279">
        <f>'Initial unit rates'!V186</f>
        <v>-9.423223465343325E-2</v>
      </c>
      <c r="W57" s="279">
        <f>'Initial unit rates'!W186</f>
        <v>-9.423223465343325E-2</v>
      </c>
      <c r="X57" s="279">
        <f>'Initial unit rates'!X186</f>
        <v>-9.1785768656664046E-2</v>
      </c>
      <c r="Y57" s="279">
        <f>'Initial unit rates'!Y186</f>
        <v>-9.1785768656664046E-2</v>
      </c>
      <c r="Z57" s="267"/>
      <c r="AA57" s="267"/>
    </row>
    <row r="58" spans="3:27" x14ac:dyDescent="0.35">
      <c r="D58"/>
      <c r="F58" t="s">
        <v>196</v>
      </c>
      <c r="G58" t="s">
        <v>269</v>
      </c>
      <c r="H58" s="267"/>
      <c r="I58" s="267"/>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7"/>
      <c r="AA58" s="267"/>
    </row>
    <row r="59" spans="3:27" x14ac:dyDescent="0.35">
      <c r="D59"/>
      <c r="F59" t="s">
        <v>197</v>
      </c>
      <c r="G59" t="s">
        <v>269</v>
      </c>
      <c r="H59" s="267"/>
      <c r="I59" s="267"/>
      <c r="J59" s="279">
        <f>'Initial unit rates'!J188</f>
        <v>0.3231718514824064</v>
      </c>
      <c r="K59" s="279">
        <f>'Initial unit rates'!K188</f>
        <v>0.3231718514824064</v>
      </c>
      <c r="L59" s="279">
        <f>'Initial unit rates'!L188</f>
        <v>0.3708509837264643</v>
      </c>
      <c r="M59" s="279">
        <f>'Initial unit rates'!M188</f>
        <v>0.3708509837264643</v>
      </c>
      <c r="N59" s="279">
        <f>'Initial unit rates'!N188</f>
        <v>0.31497056961994307</v>
      </c>
      <c r="O59" s="279">
        <f>'Initial unit rates'!O188</f>
        <v>0.25942031901882834</v>
      </c>
      <c r="P59" s="279">
        <f>'Initial unit rates'!P188</f>
        <v>0.28315784090454432</v>
      </c>
      <c r="Q59" s="279">
        <f>'Initial unit rates'!Q188</f>
        <v>0.21283790556697599</v>
      </c>
      <c r="R59" s="279">
        <f>'Initial unit rates'!R188</f>
        <v>-0.2498317413865612</v>
      </c>
      <c r="S59" s="279">
        <f>'Initial unit rates'!S188</f>
        <v>-0.2411933372257884</v>
      </c>
      <c r="T59" s="279">
        <f>'Initial unit rates'!T188</f>
        <v>-0.2498317413865612</v>
      </c>
      <c r="U59" s="279">
        <f>'Initial unit rates'!U188</f>
        <v>-0.2498317413865612</v>
      </c>
      <c r="V59" s="279">
        <f>'Initial unit rates'!V188</f>
        <v>-0.2411933372257884</v>
      </c>
      <c r="W59" s="279">
        <f>'Initial unit rates'!W188</f>
        <v>-0.2411933372257884</v>
      </c>
      <c r="X59" s="279">
        <f>'Initial unit rates'!X188</f>
        <v>0</v>
      </c>
      <c r="Y59" s="279">
        <f>'Initial unit rates'!Y188</f>
        <v>0</v>
      </c>
      <c r="Z59" s="267"/>
      <c r="AA59" s="267"/>
    </row>
    <row r="60" spans="3:27" x14ac:dyDescent="0.35">
      <c r="D60"/>
      <c r="F60" t="s">
        <v>198</v>
      </c>
      <c r="G60" t="s">
        <v>269</v>
      </c>
      <c r="H60" s="267"/>
      <c r="I60" s="267"/>
      <c r="J60" s="279">
        <f>'Initial unit rates'!J189</f>
        <v>2.959812519396765E-2</v>
      </c>
      <c r="K60" s="279">
        <f>'Initial unit rates'!K189</f>
        <v>2.959812519396765E-2</v>
      </c>
      <c r="L60" s="279">
        <f>'Initial unit rates'!L189</f>
        <v>3.3964882134047851E-2</v>
      </c>
      <c r="M60" s="279">
        <f>'Initial unit rates'!M189</f>
        <v>3.3964882134047851E-2</v>
      </c>
      <c r="N60" s="279">
        <f>'Initial unit rates'!N189</f>
        <v>2.8846999852441983E-2</v>
      </c>
      <c r="O60" s="279">
        <f>'Initial unit rates'!O189</f>
        <v>2.3759356035982986E-2</v>
      </c>
      <c r="P60" s="279">
        <f>'Initial unit rates'!P189</f>
        <v>0</v>
      </c>
      <c r="Q60" s="279">
        <f>'Initial unit rates'!Q189</f>
        <v>1.9493043549729375E-2</v>
      </c>
      <c r="R60" s="279">
        <f>'Initial unit rates'!R189</f>
        <v>-2.2881173360449529E-2</v>
      </c>
      <c r="S60" s="279">
        <f>'Initial unit rates'!S189</f>
        <v>0</v>
      </c>
      <c r="T60" s="279">
        <f>'Initial unit rates'!T189</f>
        <v>-2.2881173360449529E-2</v>
      </c>
      <c r="U60" s="279">
        <f>'Initial unit rates'!U189</f>
        <v>-2.2881173360449529E-2</v>
      </c>
      <c r="V60" s="279">
        <f>'Initial unit rates'!V189</f>
        <v>0</v>
      </c>
      <c r="W60" s="279">
        <f>'Initial unit rates'!W189</f>
        <v>0</v>
      </c>
      <c r="X60" s="279">
        <f>'Initial unit rates'!X189</f>
        <v>0</v>
      </c>
      <c r="Y60" s="279">
        <f>'Initial unit rates'!Y189</f>
        <v>0</v>
      </c>
      <c r="Z60" s="267"/>
      <c r="AA60" s="267"/>
    </row>
    <row r="61" spans="3:27" x14ac:dyDescent="0.35">
      <c r="D61"/>
      <c r="F61" t="s">
        <v>199</v>
      </c>
      <c r="G61" t="s">
        <v>269</v>
      </c>
      <c r="H61" s="267"/>
      <c r="I61" s="267"/>
      <c r="J61" s="279">
        <f>'Initial unit rates'!J190</f>
        <v>1.0748816178374958E-2</v>
      </c>
      <c r="K61" s="279">
        <f>'Initial unit rates'!K190</f>
        <v>1.0748816178374958E-2</v>
      </c>
      <c r="L61" s="279">
        <f>'Initial unit rates'!L190</f>
        <v>1.233464187973159E-2</v>
      </c>
      <c r="M61" s="279">
        <f>'Initial unit rates'!M190</f>
        <v>1.233464187973159E-2</v>
      </c>
      <c r="N61" s="279">
        <f>'Initial unit rates'!N190</f>
        <v>1.0476038488231797E-2</v>
      </c>
      <c r="O61" s="279">
        <f>'Initial unit rates'!O190</f>
        <v>0</v>
      </c>
      <c r="P61" s="279">
        <f>'Initial unit rates'!P190</f>
        <v>0</v>
      </c>
      <c r="Q61" s="279">
        <f>'Initial unit rates'!Q190</f>
        <v>7.0790680321807043E-3</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7"/>
      <c r="AA61" s="267"/>
    </row>
    <row r="62" spans="3:27" x14ac:dyDescent="0.35">
      <c r="D62"/>
      <c r="F62" s="23" t="s">
        <v>376</v>
      </c>
      <c r="G62" s="23" t="s">
        <v>269</v>
      </c>
      <c r="H62" s="266"/>
      <c r="I62" s="266"/>
      <c r="J62" s="280"/>
      <c r="K62" s="280"/>
      <c r="L62" s="280"/>
      <c r="M62" s="280"/>
      <c r="N62" s="280"/>
      <c r="O62" s="280"/>
      <c r="P62" s="280"/>
      <c r="Q62" s="280"/>
      <c r="R62" s="280"/>
      <c r="S62" s="280"/>
      <c r="T62" s="280"/>
      <c r="U62" s="280"/>
      <c r="V62" s="280"/>
      <c r="W62" s="280"/>
      <c r="X62" s="280"/>
      <c r="Y62" s="280"/>
      <c r="Z62" s="267"/>
      <c r="AA62" s="267"/>
    </row>
    <row r="63" spans="3:27" x14ac:dyDescent="0.35">
      <c r="D63"/>
      <c r="F63" s="37" t="s">
        <v>377</v>
      </c>
      <c r="G63" s="37" t="s">
        <v>269</v>
      </c>
      <c r="H63" s="269"/>
      <c r="I63" s="269"/>
      <c r="J63" s="270"/>
      <c r="K63" s="270"/>
      <c r="L63" s="270"/>
      <c r="M63" s="270"/>
      <c r="N63" s="270"/>
      <c r="O63" s="270"/>
      <c r="P63" s="270"/>
      <c r="Q63" s="270"/>
      <c r="R63" s="270"/>
      <c r="S63" s="270"/>
      <c r="T63" s="270"/>
      <c r="U63" s="270"/>
      <c r="V63" s="270"/>
      <c r="W63" s="270"/>
      <c r="X63" s="270"/>
      <c r="Y63" s="270"/>
      <c r="Z63" s="267"/>
      <c r="AA63" s="267"/>
    </row>
    <row r="64" spans="3:27" x14ac:dyDescent="0.35">
      <c r="D64"/>
      <c r="J64" s="89"/>
      <c r="K64" s="89"/>
      <c r="L64" s="89"/>
      <c r="M64" s="89"/>
      <c r="N64" s="89"/>
      <c r="O64" s="89"/>
      <c r="P64" s="89"/>
      <c r="Q64" s="89"/>
      <c r="R64" s="89"/>
      <c r="S64" s="89"/>
      <c r="T64" s="89"/>
      <c r="U64" s="89"/>
      <c r="V64" s="89"/>
      <c r="W64" s="89"/>
      <c r="X64" s="89"/>
      <c r="Y64" s="89"/>
    </row>
    <row r="65" spans="3:27" x14ac:dyDescent="0.35">
      <c r="D65"/>
      <c r="E65" s="32" t="s">
        <v>622</v>
      </c>
      <c r="J65" s="89"/>
      <c r="K65" s="89"/>
      <c r="L65" s="89"/>
      <c r="M65" s="89"/>
      <c r="N65" s="89"/>
      <c r="O65" s="89"/>
      <c r="P65" s="89"/>
      <c r="Q65" s="89"/>
      <c r="R65" s="89"/>
      <c r="S65" s="89"/>
      <c r="T65" s="89"/>
      <c r="U65" s="89"/>
      <c r="V65" s="89"/>
      <c r="W65" s="89"/>
      <c r="X65" s="89"/>
      <c r="Y65" s="89"/>
    </row>
    <row r="66" spans="3:27" x14ac:dyDescent="0.35">
      <c r="D66"/>
      <c r="F66" s="23" t="s">
        <v>189</v>
      </c>
      <c r="G66" s="23" t="s">
        <v>269</v>
      </c>
      <c r="H66" s="266"/>
      <c r="I66" s="266"/>
      <c r="J66" s="278">
        <f>'Initial unit rates'!J193</f>
        <v>0.34064433677033723</v>
      </c>
      <c r="K66" s="278">
        <f>'Initial unit rates'!K193</f>
        <v>0.34064433677033723</v>
      </c>
      <c r="L66" s="278">
        <f>'Initial unit rates'!L193</f>
        <v>0.39090127067890973</v>
      </c>
      <c r="M66" s="278">
        <f>'Initial unit rates'!M193</f>
        <v>0.39090127067890973</v>
      </c>
      <c r="N66" s="278">
        <f>'Initial unit rates'!N193</f>
        <v>0.33199964755037426</v>
      </c>
      <c r="O66" s="278">
        <f>'Initial unit rates'!O193</f>
        <v>0.27344603842061088</v>
      </c>
      <c r="P66" s="278">
        <f>'Initial unit rates'!P193</f>
        <v>0.2807576876073935</v>
      </c>
      <c r="Q66" s="278">
        <f>'Initial unit rates'!Q193</f>
        <v>0.23343195232813249</v>
      </c>
      <c r="R66" s="278">
        <f>'Initial unit rates'!R193</f>
        <v>-0.26333904843020223</v>
      </c>
      <c r="S66" s="278">
        <f>'Initial unit rates'!S193</f>
        <v>-0.25423360362551822</v>
      </c>
      <c r="T66" s="278">
        <f>'Initial unit rates'!T193</f>
        <v>-0.26333904843020223</v>
      </c>
      <c r="U66" s="278">
        <f>'Initial unit rates'!U193</f>
        <v>-0.26333904843020223</v>
      </c>
      <c r="V66" s="278">
        <f>'Initial unit rates'!V193</f>
        <v>-0.25423360362551822</v>
      </c>
      <c r="W66" s="278">
        <f>'Initial unit rates'!W193</f>
        <v>-0.25423360362551822</v>
      </c>
      <c r="X66" s="278">
        <f>'Initial unit rates'!X193</f>
        <v>-0.2484827963804547</v>
      </c>
      <c r="Y66" s="278">
        <f>'Initial unit rates'!Y193</f>
        <v>-0.2484827963804547</v>
      </c>
      <c r="Z66" s="267"/>
      <c r="AA66" s="267"/>
    </row>
    <row r="67" spans="3:27" x14ac:dyDescent="0.35">
      <c r="D67"/>
      <c r="F67" t="s">
        <v>191</v>
      </c>
      <c r="G67" t="s">
        <v>269</v>
      </c>
      <c r="H67" s="267"/>
      <c r="I67" s="267"/>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7"/>
      <c r="AA67" s="267"/>
    </row>
    <row r="68" spans="3:27" x14ac:dyDescent="0.35">
      <c r="D68"/>
      <c r="F68" t="s">
        <v>192</v>
      </c>
      <c r="G68" t="s">
        <v>269</v>
      </c>
      <c r="H68" s="267"/>
      <c r="I68" s="267"/>
      <c r="J68" s="279">
        <f>'Initial unit rates'!J195</f>
        <v>0</v>
      </c>
      <c r="K68" s="279">
        <f>'Initial unit rates'!K195</f>
        <v>0</v>
      </c>
      <c r="L68" s="279">
        <f>'Initial unit rates'!L195</f>
        <v>0</v>
      </c>
      <c r="M68" s="279">
        <f>'Initial unit rates'!M195</f>
        <v>0</v>
      </c>
      <c r="N68" s="279">
        <f>'Initial unit rates'!N195</f>
        <v>0</v>
      </c>
      <c r="O68" s="279">
        <f>'Initial unit rates'!O195</f>
        <v>0</v>
      </c>
      <c r="P68" s="279">
        <f>'Initial unit rates'!P195</f>
        <v>0</v>
      </c>
      <c r="Q68" s="279">
        <f>'Initial unit rates'!Q195</f>
        <v>0</v>
      </c>
      <c r="R68" s="279">
        <f>'Initial unit rates'!R195</f>
        <v>0</v>
      </c>
      <c r="S68" s="279">
        <f>'Initial unit rates'!S195</f>
        <v>0</v>
      </c>
      <c r="T68" s="279">
        <f>'Initial unit rates'!T195</f>
        <v>0</v>
      </c>
      <c r="U68" s="279">
        <f>'Initial unit rates'!U195</f>
        <v>0</v>
      </c>
      <c r="V68" s="279">
        <f>'Initial unit rates'!V195</f>
        <v>0</v>
      </c>
      <c r="W68" s="279">
        <f>'Initial unit rates'!W195</f>
        <v>0</v>
      </c>
      <c r="X68" s="279">
        <f>'Initial unit rates'!X195</f>
        <v>0</v>
      </c>
      <c r="Y68" s="279">
        <f>'Initial unit rates'!Y195</f>
        <v>0</v>
      </c>
      <c r="Z68" s="267"/>
      <c r="AA68" s="267"/>
    </row>
    <row r="69" spans="3:27" x14ac:dyDescent="0.35">
      <c r="D69"/>
      <c r="F69" t="s">
        <v>193</v>
      </c>
      <c r="G69" t="s">
        <v>269</v>
      </c>
      <c r="H69" s="267"/>
      <c r="I69" s="267"/>
      <c r="J69" s="279">
        <f>'Initial unit rates'!J196</f>
        <v>0</v>
      </c>
      <c r="K69" s="279">
        <f>'Initial unit rates'!K196</f>
        <v>0</v>
      </c>
      <c r="L69" s="279">
        <f>'Initial unit rates'!L196</f>
        <v>0</v>
      </c>
      <c r="M69" s="279">
        <f>'Initial unit rates'!M196</f>
        <v>0</v>
      </c>
      <c r="N69" s="279">
        <f>'Initial unit rates'!N196</f>
        <v>0</v>
      </c>
      <c r="O69" s="279">
        <f>'Initial unit rates'!O196</f>
        <v>0</v>
      </c>
      <c r="P69" s="279">
        <f>'Initial unit rates'!P196</f>
        <v>0</v>
      </c>
      <c r="Q69" s="279">
        <f>'Initial unit rates'!Q196</f>
        <v>0</v>
      </c>
      <c r="R69" s="279">
        <f>'Initial unit rates'!R196</f>
        <v>0</v>
      </c>
      <c r="S69" s="279">
        <f>'Initial unit rates'!S196</f>
        <v>0</v>
      </c>
      <c r="T69" s="279">
        <f>'Initial unit rates'!T196</f>
        <v>0</v>
      </c>
      <c r="U69" s="279">
        <f>'Initial unit rates'!U196</f>
        <v>0</v>
      </c>
      <c r="V69" s="279">
        <f>'Initial unit rates'!V196</f>
        <v>0</v>
      </c>
      <c r="W69" s="279">
        <f>'Initial unit rates'!W196</f>
        <v>0</v>
      </c>
      <c r="X69" s="279">
        <f>'Initial unit rates'!X196</f>
        <v>0</v>
      </c>
      <c r="Y69" s="279">
        <f>'Initial unit rates'!Y196</f>
        <v>0</v>
      </c>
      <c r="Z69" s="267"/>
      <c r="AA69" s="267"/>
    </row>
    <row r="70" spans="3:27" x14ac:dyDescent="0.35">
      <c r="D70"/>
      <c r="F70" t="s">
        <v>194</v>
      </c>
      <c r="G70" t="s">
        <v>269</v>
      </c>
      <c r="H70" s="267"/>
      <c r="I70" s="267"/>
      <c r="J70" s="279">
        <f>'Initial unit rates'!J197</f>
        <v>0.12509192695156104</v>
      </c>
      <c r="K70" s="279">
        <f>'Initial unit rates'!K197</f>
        <v>0.12509192695156104</v>
      </c>
      <c r="L70" s="279">
        <f>'Initial unit rates'!L197</f>
        <v>0.14354735399580723</v>
      </c>
      <c r="M70" s="279">
        <f>'Initial unit rates'!M197</f>
        <v>0.14354735399580723</v>
      </c>
      <c r="N70" s="279">
        <f>'Initial unit rates'!N197</f>
        <v>0.12191741114227103</v>
      </c>
      <c r="O70" s="279">
        <f>'Initial unit rates'!O197</f>
        <v>0.10041526651407821</v>
      </c>
      <c r="P70" s="279">
        <f>'Initial unit rates'!P197</f>
        <v>0.10310026135250727</v>
      </c>
      <c r="Q70" s="279">
        <f>'Initial unit rates'!Q197</f>
        <v>8.4877282138081989E-2</v>
      </c>
      <c r="R70" s="279">
        <f>'Initial unit rates'!R197</f>
        <v>-9.6703762411097155E-2</v>
      </c>
      <c r="S70" s="279">
        <f>'Initial unit rates'!S197</f>
        <v>-9.3360047241286714E-2</v>
      </c>
      <c r="T70" s="279">
        <f>'Initial unit rates'!T197</f>
        <v>-9.6703762411097155E-2</v>
      </c>
      <c r="U70" s="279">
        <f>'Initial unit rates'!U197</f>
        <v>-9.6703762411097155E-2</v>
      </c>
      <c r="V70" s="279">
        <f>'Initial unit rates'!V197</f>
        <v>-9.3360047241286714E-2</v>
      </c>
      <c r="W70" s="279">
        <f>'Initial unit rates'!W197</f>
        <v>-9.3360047241286714E-2</v>
      </c>
      <c r="X70" s="279">
        <f>'Initial unit rates'!X197</f>
        <v>-9.1248227134038004E-2</v>
      </c>
      <c r="Y70" s="279">
        <f>'Initial unit rates'!Y197</f>
        <v>-9.1248227134038004E-2</v>
      </c>
      <c r="Z70" s="267"/>
      <c r="AA70" s="267"/>
    </row>
    <row r="71" spans="3:27" x14ac:dyDescent="0.35">
      <c r="D71"/>
      <c r="F71" t="s">
        <v>195</v>
      </c>
      <c r="G71" t="s">
        <v>269</v>
      </c>
      <c r="H71" s="267"/>
      <c r="I71" s="267"/>
      <c r="J71" s="279">
        <f>'Initial unit rates'!J198</f>
        <v>0.11318271332955603</v>
      </c>
      <c r="K71" s="279">
        <f>'Initial unit rates'!K198</f>
        <v>0.11318271332955603</v>
      </c>
      <c r="L71" s="279">
        <f>'Initial unit rates'!L198</f>
        <v>0.12988111553206028</v>
      </c>
      <c r="M71" s="279">
        <f>'Initial unit rates'!M198</f>
        <v>0.12988111553206028</v>
      </c>
      <c r="N71" s="279">
        <f>'Initial unit rates'!N198</f>
        <v>0.11031042315417046</v>
      </c>
      <c r="O71" s="279">
        <f>'Initial unit rates'!O198</f>
        <v>9.0855362138396151E-2</v>
      </c>
      <c r="P71" s="279">
        <f>'Initial unit rates'!P198</f>
        <v>9.3284735547976227E-2</v>
      </c>
      <c r="Q71" s="279">
        <f>'Initial unit rates'!Q198</f>
        <v>7.679665128307063E-2</v>
      </c>
      <c r="R71" s="279">
        <f>'Initial unit rates'!R198</f>
        <v>-8.7497206938885658E-2</v>
      </c>
      <c r="S71" s="279">
        <f>'Initial unit rates'!S198</f>
        <v>-8.447182580724083E-2</v>
      </c>
      <c r="T71" s="279">
        <f>'Initial unit rates'!T198</f>
        <v>-8.7497206938885658E-2</v>
      </c>
      <c r="U71" s="279">
        <f>'Initial unit rates'!U198</f>
        <v>-8.7497206938885658E-2</v>
      </c>
      <c r="V71" s="279">
        <f>'Initial unit rates'!V198</f>
        <v>-8.447182580724083E-2</v>
      </c>
      <c r="W71" s="279">
        <f>'Initial unit rates'!W198</f>
        <v>-8.447182580724083E-2</v>
      </c>
      <c r="X71" s="279">
        <f>'Initial unit rates'!X198</f>
        <v>-8.2561058776728313E-2</v>
      </c>
      <c r="Y71" s="279">
        <f>'Initial unit rates'!Y198</f>
        <v>-8.2561058776728313E-2</v>
      </c>
      <c r="Z71" s="267"/>
      <c r="AA71" s="267"/>
    </row>
    <row r="72" spans="3:27" x14ac:dyDescent="0.35">
      <c r="D72"/>
      <c r="F72" t="s">
        <v>196</v>
      </c>
      <c r="G72" t="s">
        <v>269</v>
      </c>
      <c r="H72" s="267"/>
      <c r="I72" s="267"/>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7"/>
      <c r="AA72" s="267"/>
    </row>
    <row r="73" spans="3:27" x14ac:dyDescent="0.35">
      <c r="D73"/>
      <c r="F73" t="s">
        <v>197</v>
      </c>
      <c r="G73" t="s">
        <v>269</v>
      </c>
      <c r="H73" s="267"/>
      <c r="I73" s="267"/>
      <c r="J73" s="279">
        <f>'Initial unit rates'!J200</f>
        <v>0.50192168932205206</v>
      </c>
      <c r="K73" s="279">
        <f>'Initial unit rates'!K200</f>
        <v>0.50192168932205206</v>
      </c>
      <c r="L73" s="279">
        <f>'Initial unit rates'!L200</f>
        <v>0.57597266403279312</v>
      </c>
      <c r="M73" s="279">
        <f>'Initial unit rates'!M200</f>
        <v>0.57597266403279312</v>
      </c>
      <c r="N73" s="279">
        <f>'Initial unit rates'!N200</f>
        <v>0.48918418997570817</v>
      </c>
      <c r="O73" s="279">
        <f>'Initial unit rates'!O200</f>
        <v>0.40290849642108939</v>
      </c>
      <c r="P73" s="279">
        <f>'Initial unit rates'!P200</f>
        <v>0.41368183070386177</v>
      </c>
      <c r="Q73" s="279">
        <f>'Initial unit rates'!Q200</f>
        <v>0.33056084749930564</v>
      </c>
      <c r="R73" s="279">
        <f>'Initial unit rates'!R200</f>
        <v>-0.38801637304677022</v>
      </c>
      <c r="S73" s="279">
        <f>'Initial unit rates'!S200</f>
        <v>-0.37459997434269626</v>
      </c>
      <c r="T73" s="279">
        <f>'Initial unit rates'!T200</f>
        <v>-0.38801637304677022</v>
      </c>
      <c r="U73" s="279">
        <f>'Initial unit rates'!U200</f>
        <v>-0.38801637304677022</v>
      </c>
      <c r="V73" s="279">
        <f>'Initial unit rates'!V200</f>
        <v>-0.37459997434269626</v>
      </c>
      <c r="W73" s="279">
        <f>'Initial unit rates'!W200</f>
        <v>-0.37459997434269626</v>
      </c>
      <c r="X73" s="279">
        <f>'Initial unit rates'!X200</f>
        <v>0</v>
      </c>
      <c r="Y73" s="279">
        <f>'Initial unit rates'!Y200</f>
        <v>0</v>
      </c>
      <c r="Z73" s="267"/>
      <c r="AA73" s="267"/>
    </row>
    <row r="74" spans="3:27" x14ac:dyDescent="0.35">
      <c r="D74"/>
      <c r="F74" t="s">
        <v>198</v>
      </c>
      <c r="G74" t="s">
        <v>269</v>
      </c>
      <c r="H74" s="267"/>
      <c r="I74" s="267"/>
      <c r="J74" s="279">
        <f>'Initial unit rates'!J201</f>
        <v>0.12154112319789695</v>
      </c>
      <c r="K74" s="279">
        <f>'Initial unit rates'!K201</f>
        <v>0.12154112319789695</v>
      </c>
      <c r="L74" s="279">
        <f>'Initial unit rates'!L201</f>
        <v>0.13947268270551499</v>
      </c>
      <c r="M74" s="279">
        <f>'Initial unit rates'!M201</f>
        <v>0.13947268270551499</v>
      </c>
      <c r="N74" s="279">
        <f>'Initial unit rates'!N201</f>
        <v>0.11845671778123087</v>
      </c>
      <c r="O74" s="279">
        <f>'Initial unit rates'!O201</f>
        <v>9.7564923458755087E-2</v>
      </c>
      <c r="P74" s="279">
        <f>'Initial unit rates'!P201</f>
        <v>0</v>
      </c>
      <c r="Q74" s="279">
        <f>'Initial unit rates'!Q201</f>
        <v>8.0045826958745778E-2</v>
      </c>
      <c r="R74" s="279">
        <f>'Initial unit rates'!R201</f>
        <v>-9.3958772459061896E-2</v>
      </c>
      <c r="S74" s="279">
        <f>'Initial unit rates'!S201</f>
        <v>0</v>
      </c>
      <c r="T74" s="279">
        <f>'Initial unit rates'!T201</f>
        <v>-9.3958772459061896E-2</v>
      </c>
      <c r="U74" s="279">
        <f>'Initial unit rates'!U201</f>
        <v>-9.3958772459061896E-2</v>
      </c>
      <c r="V74" s="279">
        <f>'Initial unit rates'!V201</f>
        <v>0</v>
      </c>
      <c r="W74" s="279">
        <f>'Initial unit rates'!W201</f>
        <v>0</v>
      </c>
      <c r="X74" s="279">
        <f>'Initial unit rates'!X201</f>
        <v>0</v>
      </c>
      <c r="Y74" s="279">
        <f>'Initial unit rates'!Y201</f>
        <v>0</v>
      </c>
      <c r="Z74" s="267"/>
      <c r="AA74" s="267"/>
    </row>
    <row r="75" spans="3:27" x14ac:dyDescent="0.35">
      <c r="D75"/>
      <c r="F75" t="s">
        <v>199</v>
      </c>
      <c r="G75" t="s">
        <v>269</v>
      </c>
      <c r="H75" s="267"/>
      <c r="I75" s="267"/>
      <c r="J75" s="279">
        <f>'Initial unit rates'!J202</f>
        <v>0.28851541008745929</v>
      </c>
      <c r="K75" s="279">
        <f>'Initial unit rates'!K202</f>
        <v>0.28851541008745929</v>
      </c>
      <c r="L75" s="279">
        <f>'Initial unit rates'!L202</f>
        <v>0.3310815071312096</v>
      </c>
      <c r="M75" s="279">
        <f>'Initial unit rates'!M202</f>
        <v>0.3310815071312096</v>
      </c>
      <c r="N75" s="279">
        <f>'Initial unit rates'!N202</f>
        <v>0.28119362080124027</v>
      </c>
      <c r="O75" s="279">
        <f>'Initial unit rates'!O202</f>
        <v>0</v>
      </c>
      <c r="P75" s="279">
        <f>'Initial unit rates'!P202</f>
        <v>0</v>
      </c>
      <c r="Q75" s="279">
        <f>'Initial unit rates'!Q202</f>
        <v>0.190013503110295</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7"/>
      <c r="AA75" s="267"/>
    </row>
    <row r="76" spans="3:27" x14ac:dyDescent="0.35">
      <c r="D76"/>
      <c r="F76" s="23" t="s">
        <v>376</v>
      </c>
      <c r="G76" s="23" t="s">
        <v>269</v>
      </c>
      <c r="H76" s="266"/>
      <c r="I76" s="266" t="s">
        <v>154</v>
      </c>
      <c r="J76" s="280"/>
      <c r="K76" s="280"/>
      <c r="L76" s="280"/>
      <c r="M76" s="280"/>
      <c r="N76" s="280"/>
      <c r="O76" s="280"/>
      <c r="P76" s="280"/>
      <c r="Q76" s="278">
        <f>'Service model charges'!$Q$44</f>
        <v>2.564029683035268</v>
      </c>
      <c r="R76" s="280"/>
      <c r="S76" s="280"/>
      <c r="T76" s="280"/>
      <c r="U76" s="280"/>
      <c r="V76" s="280"/>
      <c r="W76" s="280"/>
      <c r="X76" s="280"/>
      <c r="Y76" s="280"/>
      <c r="Z76" s="267"/>
      <c r="AA76" s="267" t="s">
        <v>654</v>
      </c>
    </row>
    <row r="77" spans="3:27" x14ac:dyDescent="0.35">
      <c r="D77"/>
      <c r="F77" s="37" t="s">
        <v>377</v>
      </c>
      <c r="G77" s="37" t="s">
        <v>269</v>
      </c>
      <c r="H77" s="269"/>
      <c r="I77" s="269"/>
      <c r="J77" s="270"/>
      <c r="K77" s="270"/>
      <c r="L77" s="270"/>
      <c r="M77" s="270"/>
      <c r="N77" s="270"/>
      <c r="O77" s="270"/>
      <c r="P77" s="270"/>
      <c r="Q77" s="270"/>
      <c r="R77" s="270"/>
      <c r="S77" s="270"/>
      <c r="T77" s="270"/>
      <c r="U77" s="270"/>
      <c r="V77" s="270"/>
      <c r="W77" s="270"/>
      <c r="X77" s="270"/>
      <c r="Y77" s="270"/>
      <c r="Z77" s="267"/>
      <c r="AA77" s="267"/>
    </row>
    <row r="78" spans="3:27" x14ac:dyDescent="0.35">
      <c r="J78" s="89"/>
      <c r="K78" s="89"/>
      <c r="L78" s="89"/>
      <c r="M78" s="89"/>
      <c r="N78" s="89"/>
      <c r="O78" s="89"/>
      <c r="P78" s="89"/>
      <c r="Q78" s="89"/>
      <c r="R78" s="89"/>
      <c r="S78" s="89"/>
      <c r="T78" s="89"/>
      <c r="U78" s="89"/>
      <c r="V78" s="89"/>
      <c r="W78" s="89"/>
      <c r="X78" s="89"/>
      <c r="Y78" s="89"/>
    </row>
    <row r="79" spans="3:27" x14ac:dyDescent="0.3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35">
      <c r="D80" s="32"/>
      <c r="E80" s="32"/>
      <c r="J80" s="89"/>
      <c r="K80" s="89"/>
      <c r="L80" s="89"/>
      <c r="M80" s="89"/>
      <c r="N80" s="89"/>
      <c r="O80" s="89"/>
      <c r="P80" s="89"/>
      <c r="Q80" s="89"/>
      <c r="R80" s="89"/>
      <c r="S80" s="89"/>
      <c r="T80" s="89"/>
      <c r="U80" s="89"/>
      <c r="V80" s="89"/>
      <c r="W80" s="89"/>
      <c r="X80" s="89"/>
      <c r="Y80" s="89"/>
    </row>
    <row r="81" spans="4:27" x14ac:dyDescent="0.35">
      <c r="D81"/>
      <c r="E81" s="32" t="s">
        <v>621</v>
      </c>
      <c r="J81" s="89"/>
      <c r="K81" s="89"/>
      <c r="L81" s="89"/>
      <c r="M81" s="89"/>
      <c r="N81" s="89"/>
      <c r="O81" s="89"/>
      <c r="P81" s="89"/>
      <c r="Q81" s="89"/>
      <c r="R81" s="89"/>
      <c r="S81" s="89"/>
      <c r="T81" s="89"/>
      <c r="U81" s="89"/>
      <c r="V81" s="89"/>
      <c r="W81" s="89"/>
      <c r="X81" s="89"/>
      <c r="Y81" s="89"/>
    </row>
    <row r="82" spans="4:27" x14ac:dyDescent="0.35">
      <c r="D82"/>
      <c r="F82" s="23" t="s">
        <v>189</v>
      </c>
      <c r="G82" s="23" t="s">
        <v>269</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7"/>
      <c r="AA82" s="267"/>
    </row>
    <row r="83" spans="4:27" x14ac:dyDescent="0.35">
      <c r="D83"/>
      <c r="F83" t="s">
        <v>191</v>
      </c>
      <c r="G83" t="s">
        <v>269</v>
      </c>
      <c r="H83" s="267"/>
      <c r="I83" s="267"/>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7"/>
      <c r="AA83" s="267"/>
    </row>
    <row r="84" spans="4:27" x14ac:dyDescent="0.35">
      <c r="D84"/>
      <c r="F84" t="s">
        <v>192</v>
      </c>
      <c r="G84" t="s">
        <v>269</v>
      </c>
      <c r="H84" s="267"/>
      <c r="I84" s="267"/>
      <c r="J84" s="279">
        <f>'Initial unit rates'!J212</f>
        <v>0</v>
      </c>
      <c r="K84" s="279">
        <f>'Initial unit rates'!K212</f>
        <v>0</v>
      </c>
      <c r="L84" s="279">
        <f>'Initial unit rates'!L212</f>
        <v>0</v>
      </c>
      <c r="M84" s="279">
        <f>'Initial unit rates'!M212</f>
        <v>0</v>
      </c>
      <c r="N84" s="279">
        <f>'Initial unit rates'!N212</f>
        <v>0</v>
      </c>
      <c r="O84" s="279">
        <f>'Initial unit rates'!O212</f>
        <v>0</v>
      </c>
      <c r="P84" s="279">
        <f>'Initial unit rates'!P212</f>
        <v>0</v>
      </c>
      <c r="Q84" s="279">
        <f>'Initial unit rates'!Q212</f>
        <v>0</v>
      </c>
      <c r="R84" s="279">
        <f>'Initial unit rates'!R212</f>
        <v>0</v>
      </c>
      <c r="S84" s="279">
        <f>'Initial unit rates'!S212</f>
        <v>0</v>
      </c>
      <c r="T84" s="279">
        <f>'Initial unit rates'!T212</f>
        <v>0</v>
      </c>
      <c r="U84" s="279">
        <f>'Initial unit rates'!U212</f>
        <v>0</v>
      </c>
      <c r="V84" s="279">
        <f>'Initial unit rates'!V212</f>
        <v>0</v>
      </c>
      <c r="W84" s="279">
        <f>'Initial unit rates'!W212</f>
        <v>0</v>
      </c>
      <c r="X84" s="279">
        <f>'Initial unit rates'!X212</f>
        <v>0</v>
      </c>
      <c r="Y84" s="279">
        <f>'Initial unit rates'!Y212</f>
        <v>0</v>
      </c>
      <c r="Z84" s="267"/>
      <c r="AA84" s="267"/>
    </row>
    <row r="85" spans="4:27" x14ac:dyDescent="0.35">
      <c r="D85"/>
      <c r="F85" t="s">
        <v>193</v>
      </c>
      <c r="G85" t="s">
        <v>269</v>
      </c>
      <c r="H85" s="267"/>
      <c r="I85" s="267"/>
      <c r="J85" s="279">
        <f>'Initial unit rates'!J213</f>
        <v>0</v>
      </c>
      <c r="K85" s="279">
        <f>'Initial unit rates'!K213</f>
        <v>0</v>
      </c>
      <c r="L85" s="279">
        <f>'Initial unit rates'!L213</f>
        <v>0</v>
      </c>
      <c r="M85" s="279">
        <f>'Initial unit rates'!M213</f>
        <v>0</v>
      </c>
      <c r="N85" s="279">
        <f>'Initial unit rates'!N213</f>
        <v>0</v>
      </c>
      <c r="O85" s="279">
        <f>'Initial unit rates'!O213</f>
        <v>0</v>
      </c>
      <c r="P85" s="279">
        <f>'Initial unit rates'!P213</f>
        <v>0</v>
      </c>
      <c r="Q85" s="279">
        <f>'Initial unit rates'!Q213</f>
        <v>0</v>
      </c>
      <c r="R85" s="279">
        <f>'Initial unit rates'!R213</f>
        <v>0</v>
      </c>
      <c r="S85" s="279">
        <f>'Initial unit rates'!S213</f>
        <v>0</v>
      </c>
      <c r="T85" s="279">
        <f>'Initial unit rates'!T213</f>
        <v>0</v>
      </c>
      <c r="U85" s="279">
        <f>'Initial unit rates'!U213</f>
        <v>0</v>
      </c>
      <c r="V85" s="279">
        <f>'Initial unit rates'!V213</f>
        <v>0</v>
      </c>
      <c r="W85" s="279">
        <f>'Initial unit rates'!W213</f>
        <v>0</v>
      </c>
      <c r="X85" s="279">
        <f>'Initial unit rates'!X213</f>
        <v>0</v>
      </c>
      <c r="Y85" s="279">
        <f>'Initial unit rates'!Y213</f>
        <v>0</v>
      </c>
      <c r="Z85" s="267"/>
      <c r="AA85" s="267"/>
    </row>
    <row r="86" spans="4:27" x14ac:dyDescent="0.35">
      <c r="D86"/>
      <c r="F86" t="s">
        <v>194</v>
      </c>
      <c r="G86" t="s">
        <v>269</v>
      </c>
      <c r="H86" s="267"/>
      <c r="I86" s="267"/>
      <c r="J86" s="279">
        <f>'Initial unit rates'!J214</f>
        <v>4.4131782258333044E-2</v>
      </c>
      <c r="K86" s="279">
        <f>'Initial unit rates'!K214</f>
        <v>4.4131782258333044E-2</v>
      </c>
      <c r="L86" s="279">
        <f>'Initial unit rates'!L214</f>
        <v>5.0642761085260932E-2</v>
      </c>
      <c r="M86" s="279">
        <f>'Initial unit rates'!M214</f>
        <v>5.0642761085260932E-2</v>
      </c>
      <c r="N86" s="279">
        <f>'Initial unit rates'!N214</f>
        <v>4.3011829565258994E-2</v>
      </c>
      <c r="O86" s="279">
        <f>'Initial unit rates'!O214</f>
        <v>3.5425984595534907E-2</v>
      </c>
      <c r="P86" s="279">
        <f>'Initial unit rates'!P214</f>
        <v>3.6180526890037479E-2</v>
      </c>
      <c r="Q86" s="279">
        <f>'Initial unit rates'!Q214</f>
        <v>2.6946876016651473E-2</v>
      </c>
      <c r="R86" s="279">
        <f>'Initial unit rates'!R214</f>
        <v>-3.4116585220888659E-2</v>
      </c>
      <c r="S86" s="279">
        <f>'Initial unit rates'!S214</f>
        <v>-3.2936939872031723E-2</v>
      </c>
      <c r="T86" s="279">
        <f>'Initial unit rates'!T214</f>
        <v>-3.4116585220888659E-2</v>
      </c>
      <c r="U86" s="279">
        <f>'Initial unit rates'!U214</f>
        <v>-3.4116585220888659E-2</v>
      </c>
      <c r="V86" s="279">
        <f>'Initial unit rates'!V214</f>
        <v>-3.2936939872031723E-2</v>
      </c>
      <c r="W86" s="279">
        <f>'Initial unit rates'!W214</f>
        <v>-3.2936939872031723E-2</v>
      </c>
      <c r="X86" s="279">
        <f>'Initial unit rates'!X214</f>
        <v>-3.2021344002257687E-2</v>
      </c>
      <c r="Y86" s="279">
        <f>'Initial unit rates'!Y214</f>
        <v>-3.2021344002257687E-2</v>
      </c>
      <c r="Z86" s="267"/>
      <c r="AA86" s="267"/>
    </row>
    <row r="87" spans="4:27" x14ac:dyDescent="0.35">
      <c r="D87"/>
      <c r="F87" t="s">
        <v>195</v>
      </c>
      <c r="G87" t="s">
        <v>269</v>
      </c>
      <c r="H87" s="267"/>
      <c r="I87" s="267"/>
      <c r="J87" s="279">
        <f>'Initial unit rates'!J215</f>
        <v>4.0021587054037876E-2</v>
      </c>
      <c r="K87" s="279">
        <f>'Initial unit rates'!K215</f>
        <v>4.0021587054037876E-2</v>
      </c>
      <c r="L87" s="279">
        <f>'Initial unit rates'!L215</f>
        <v>4.5926168573169446E-2</v>
      </c>
      <c r="M87" s="279">
        <f>'Initial unit rates'!M215</f>
        <v>4.5926168573169446E-2</v>
      </c>
      <c r="N87" s="279">
        <f>'Initial unit rates'!N215</f>
        <v>3.9005940689703616E-2</v>
      </c>
      <c r="O87" s="279">
        <f>'Initial unit rates'!O215</f>
        <v>3.2126600239388542E-2</v>
      </c>
      <c r="P87" s="279">
        <f>'Initial unit rates'!P215</f>
        <v>3.2872843844581175E-2</v>
      </c>
      <c r="Q87" s="279">
        <f>'Initial unit rates'!Q215</f>
        <v>2.4437189915010652E-2</v>
      </c>
      <c r="R87" s="279">
        <f>'Initial unit rates'!R215</f>
        <v>-3.0939151231457011E-2</v>
      </c>
      <c r="S87" s="279">
        <f>'Initial unit rates'!S215</f>
        <v>-2.9869371662034478E-2</v>
      </c>
      <c r="T87" s="279">
        <f>'Initial unit rates'!T215</f>
        <v>-3.0939151231457011E-2</v>
      </c>
      <c r="U87" s="279">
        <f>'Initial unit rates'!U215</f>
        <v>-3.0939151231457011E-2</v>
      </c>
      <c r="V87" s="279">
        <f>'Initial unit rates'!V215</f>
        <v>-2.9869371662034478E-2</v>
      </c>
      <c r="W87" s="279">
        <f>'Initial unit rates'!W215</f>
        <v>-2.9869371662034478E-2</v>
      </c>
      <c r="X87" s="279">
        <f>'Initial unit rates'!X215</f>
        <v>-2.9093900270691787E-2</v>
      </c>
      <c r="Y87" s="279">
        <f>'Initial unit rates'!Y215</f>
        <v>-2.9093900270691787E-2</v>
      </c>
      <c r="Z87" s="267"/>
      <c r="AA87" s="267"/>
    </row>
    <row r="88" spans="4:27" x14ac:dyDescent="0.35">
      <c r="D88"/>
      <c r="F88" t="s">
        <v>196</v>
      </c>
      <c r="G88" t="s">
        <v>269</v>
      </c>
      <c r="H88" s="267"/>
      <c r="I88" s="267"/>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7"/>
      <c r="AA88" s="267"/>
    </row>
    <row r="89" spans="4:27" x14ac:dyDescent="0.35">
      <c r="D89"/>
      <c r="F89" t="s">
        <v>197</v>
      </c>
      <c r="G89" t="s">
        <v>269</v>
      </c>
      <c r="H89" s="267"/>
      <c r="I89" s="267"/>
      <c r="J89" s="279">
        <f>'Initial unit rates'!J217</f>
        <v>0.1081804952921947</v>
      </c>
      <c r="K89" s="279">
        <f>'Initial unit rates'!K217</f>
        <v>0.1081804952921947</v>
      </c>
      <c r="L89" s="279">
        <f>'Initial unit rates'!L217</f>
        <v>0.1241408956723777</v>
      </c>
      <c r="M89" s="279">
        <f>'Initial unit rates'!M217</f>
        <v>0.1241408956723777</v>
      </c>
      <c r="N89" s="279">
        <f>'Initial unit rates'!N217</f>
        <v>0.10543514872242861</v>
      </c>
      <c r="O89" s="279">
        <f>'Initial unit rates'!O217</f>
        <v>8.6839922696187649E-2</v>
      </c>
      <c r="P89" s="279">
        <f>'Initial unit rates'!P217</f>
        <v>9.4785963982973009E-2</v>
      </c>
      <c r="Q89" s="279">
        <f>'Initial unit rates'!Q217</f>
        <v>6.6055034373969326E-2</v>
      </c>
      <c r="R89" s="279">
        <f>'Initial unit rates'!R217</f>
        <v>-8.3630184370748151E-2</v>
      </c>
      <c r="S89" s="279">
        <f>'Initial unit rates'!S217</f>
        <v>-8.0738512845644941E-2</v>
      </c>
      <c r="T89" s="279">
        <f>'Initial unit rates'!T217</f>
        <v>-8.3630184370748151E-2</v>
      </c>
      <c r="U89" s="279">
        <f>'Initial unit rates'!U217</f>
        <v>-8.3630184370748151E-2</v>
      </c>
      <c r="V89" s="279">
        <f>'Initial unit rates'!V217</f>
        <v>-8.0738512845644941E-2</v>
      </c>
      <c r="W89" s="279">
        <f>'Initial unit rates'!W217</f>
        <v>-8.0738512845644941E-2</v>
      </c>
      <c r="X89" s="279">
        <f>'Initial unit rates'!X217</f>
        <v>0</v>
      </c>
      <c r="Y89" s="279">
        <f>'Initial unit rates'!Y217</f>
        <v>0</v>
      </c>
      <c r="Z89" s="267"/>
      <c r="AA89" s="267"/>
    </row>
    <row r="90" spans="4:27" x14ac:dyDescent="0.35">
      <c r="D90"/>
      <c r="F90" t="s">
        <v>198</v>
      </c>
      <c r="G90" t="s">
        <v>269</v>
      </c>
      <c r="H90" s="267"/>
      <c r="I90" s="267"/>
      <c r="J90" s="279">
        <f>'Initial unit rates'!J218</f>
        <v>9.9078549957749718E-3</v>
      </c>
      <c r="K90" s="279">
        <f>'Initial unit rates'!K218</f>
        <v>9.9078549957749718E-3</v>
      </c>
      <c r="L90" s="279">
        <f>'Initial unit rates'!L218</f>
        <v>1.1369609558963538E-2</v>
      </c>
      <c r="M90" s="279">
        <f>'Initial unit rates'!M218</f>
        <v>1.1369609558963538E-2</v>
      </c>
      <c r="N90" s="279">
        <f>'Initial unit rates'!N218</f>
        <v>9.6564187673409806E-3</v>
      </c>
      <c r="O90" s="279">
        <f>'Initial unit rates'!O218</f>
        <v>7.9533501819732677E-3</v>
      </c>
      <c r="P90" s="279">
        <f>'Initial unit rates'!P218</f>
        <v>0</v>
      </c>
      <c r="Q90" s="279">
        <f>'Initial unit rates'!Q218</f>
        <v>6.0497384537805815E-3</v>
      </c>
      <c r="R90" s="279">
        <f>'Initial unit rates'!R218</f>
        <v>-7.659382015004353E-3</v>
      </c>
      <c r="S90" s="279">
        <f>'Initial unit rates'!S218</f>
        <v>0</v>
      </c>
      <c r="T90" s="279">
        <f>'Initial unit rates'!T218</f>
        <v>-7.659382015004353E-3</v>
      </c>
      <c r="U90" s="279">
        <f>'Initial unit rates'!U218</f>
        <v>-7.659382015004353E-3</v>
      </c>
      <c r="V90" s="279">
        <f>'Initial unit rates'!V218</f>
        <v>0</v>
      </c>
      <c r="W90" s="279">
        <f>'Initial unit rates'!W218</f>
        <v>0</v>
      </c>
      <c r="X90" s="279">
        <f>'Initial unit rates'!X218</f>
        <v>0</v>
      </c>
      <c r="Y90" s="279">
        <f>'Initial unit rates'!Y218</f>
        <v>0</v>
      </c>
      <c r="Z90" s="267"/>
      <c r="AA90" s="267"/>
    </row>
    <row r="91" spans="4:27" x14ac:dyDescent="0.35">
      <c r="D91"/>
      <c r="F91" t="s">
        <v>199</v>
      </c>
      <c r="G91" t="s">
        <v>269</v>
      </c>
      <c r="H91" s="267"/>
      <c r="I91" s="267"/>
      <c r="J91" s="279">
        <f>'Initial unit rates'!J219</f>
        <v>3.5981235761947616E-3</v>
      </c>
      <c r="K91" s="279">
        <f>'Initial unit rates'!K219</f>
        <v>3.5981235761947616E-3</v>
      </c>
      <c r="L91" s="279">
        <f>'Initial unit rates'!L219</f>
        <v>4.1289724389064085E-3</v>
      </c>
      <c r="M91" s="279">
        <f>'Initial unit rates'!M219</f>
        <v>4.1289724389064085E-3</v>
      </c>
      <c r="N91" s="279">
        <f>'Initial unit rates'!N219</f>
        <v>3.5068123265021051E-3</v>
      </c>
      <c r="O91" s="279">
        <f>'Initial unit rates'!O219</f>
        <v>0</v>
      </c>
      <c r="P91" s="279">
        <f>'Initial unit rates'!P219</f>
        <v>0</v>
      </c>
      <c r="Q91" s="279">
        <f>'Initial unit rates'!Q219</f>
        <v>2.1970150521623908E-3</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7"/>
      <c r="AA91" s="267"/>
    </row>
    <row r="92" spans="4:27" x14ac:dyDescent="0.35">
      <c r="D92"/>
      <c r="F92" s="23" t="s">
        <v>376</v>
      </c>
      <c r="G92" s="23" t="s">
        <v>269</v>
      </c>
      <c r="H92" s="266"/>
      <c r="I92" s="266"/>
      <c r="J92" s="280"/>
      <c r="K92" s="280"/>
      <c r="L92" s="280"/>
      <c r="M92" s="280"/>
      <c r="N92" s="280"/>
      <c r="O92" s="280"/>
      <c r="P92" s="280"/>
      <c r="Q92" s="280"/>
      <c r="R92" s="280"/>
      <c r="S92" s="280"/>
      <c r="T92" s="280"/>
      <c r="U92" s="280"/>
      <c r="V92" s="280"/>
      <c r="W92" s="280"/>
      <c r="X92" s="280"/>
      <c r="Y92" s="280"/>
      <c r="Z92" s="267"/>
      <c r="AA92" s="267"/>
    </row>
    <row r="93" spans="4:27" x14ac:dyDescent="0.35">
      <c r="D93"/>
      <c r="F93" s="37" t="s">
        <v>377</v>
      </c>
      <c r="G93" s="37" t="s">
        <v>269</v>
      </c>
      <c r="H93" s="269"/>
      <c r="I93" s="269"/>
      <c r="J93" s="270"/>
      <c r="K93" s="270"/>
      <c r="L93" s="270"/>
      <c r="M93" s="270"/>
      <c r="N93" s="270"/>
      <c r="O93" s="270"/>
      <c r="P93" s="270"/>
      <c r="Q93" s="270"/>
      <c r="R93" s="270"/>
      <c r="S93" s="270"/>
      <c r="T93" s="270"/>
      <c r="U93" s="270"/>
      <c r="V93" s="270"/>
      <c r="W93" s="270"/>
      <c r="X93" s="270"/>
      <c r="Y93" s="270"/>
      <c r="Z93" s="267"/>
      <c r="AA93" s="267"/>
    </row>
    <row r="94" spans="4:27" x14ac:dyDescent="0.35">
      <c r="D94"/>
      <c r="J94" s="89"/>
      <c r="K94" s="89"/>
      <c r="L94" s="89"/>
      <c r="M94" s="89"/>
      <c r="N94" s="89"/>
      <c r="O94" s="89"/>
      <c r="P94" s="89"/>
      <c r="Q94" s="89"/>
      <c r="R94" s="89"/>
      <c r="S94" s="89"/>
      <c r="T94" s="89"/>
      <c r="U94" s="89"/>
      <c r="V94" s="89"/>
      <c r="W94" s="89"/>
      <c r="X94" s="89"/>
      <c r="Y94" s="89"/>
    </row>
    <row r="95" spans="4:27" x14ac:dyDescent="0.35">
      <c r="D95"/>
      <c r="E95" s="32" t="s">
        <v>622</v>
      </c>
      <c r="J95" s="89"/>
      <c r="K95" s="89"/>
      <c r="L95" s="89"/>
      <c r="M95" s="89"/>
      <c r="N95" s="89"/>
      <c r="O95" s="89"/>
      <c r="P95" s="89"/>
      <c r="Q95" s="89"/>
      <c r="R95" s="89"/>
      <c r="S95" s="89"/>
      <c r="T95" s="89"/>
      <c r="U95" s="89"/>
      <c r="V95" s="89"/>
      <c r="W95" s="89"/>
      <c r="X95" s="89"/>
      <c r="Y95" s="89"/>
    </row>
    <row r="96" spans="4:27" x14ac:dyDescent="0.35">
      <c r="D96"/>
      <c r="F96" s="23" t="s">
        <v>189</v>
      </c>
      <c r="G96" s="23" t="s">
        <v>269</v>
      </c>
      <c r="H96" s="266"/>
      <c r="I96" s="266"/>
      <c r="J96" s="278">
        <f>'Initial unit rates'!J222</f>
        <v>0.14723595583434593</v>
      </c>
      <c r="K96" s="278">
        <f>'Initial unit rates'!K222</f>
        <v>0.14723595583434593</v>
      </c>
      <c r="L96" s="278">
        <f>'Initial unit rates'!L222</f>
        <v>0.16895840033904078</v>
      </c>
      <c r="M96" s="278">
        <f>'Initial unit rates'!M222</f>
        <v>0.16895840033904078</v>
      </c>
      <c r="N96" s="278">
        <f>'Initial unit rates'!N222</f>
        <v>0.14349948074052912</v>
      </c>
      <c r="O96" s="278">
        <f>'Initial unit rates'!O222</f>
        <v>0.11819098247072285</v>
      </c>
      <c r="P96" s="278">
        <f>'Initial unit rates'!P222</f>
        <v>0.12135128058971713</v>
      </c>
      <c r="Q96" s="278">
        <f>'Initial unit rates'!Q222</f>
        <v>8.9902307226944853E-2</v>
      </c>
      <c r="R96" s="278">
        <f>'Initial unit rates'!R222</f>
        <v>-0.11382246031663437</v>
      </c>
      <c r="S96" s="278">
        <f>'Initial unit rates'!S222</f>
        <v>-0.1098868338452676</v>
      </c>
      <c r="T96" s="278">
        <f>'Initial unit rates'!T222</f>
        <v>-0.11382246031663437</v>
      </c>
      <c r="U96" s="278">
        <f>'Initial unit rates'!U222</f>
        <v>-0.11382246031663437</v>
      </c>
      <c r="V96" s="278">
        <f>'Initial unit rates'!V222</f>
        <v>-0.1098868338452676</v>
      </c>
      <c r="W96" s="278">
        <f>'Initial unit rates'!W222</f>
        <v>-0.1098868338452676</v>
      </c>
      <c r="X96" s="278">
        <f>'Initial unit rates'!X222</f>
        <v>-0.10740117502124646</v>
      </c>
      <c r="Y96" s="278">
        <f>'Initial unit rates'!Y222</f>
        <v>-0.10740117502124646</v>
      </c>
      <c r="Z96" s="267"/>
      <c r="AA96" s="267"/>
    </row>
    <row r="97" spans="3:42" x14ac:dyDescent="0.35">
      <c r="D97"/>
      <c r="F97" t="s">
        <v>191</v>
      </c>
      <c r="G97" t="s">
        <v>269</v>
      </c>
      <c r="H97" s="267"/>
      <c r="I97" s="267"/>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7"/>
      <c r="AA97" s="267"/>
    </row>
    <row r="98" spans="3:42" x14ac:dyDescent="0.35">
      <c r="D98"/>
      <c r="F98" t="s">
        <v>192</v>
      </c>
      <c r="G98" t="s">
        <v>269</v>
      </c>
      <c r="H98" s="267"/>
      <c r="I98" s="267"/>
      <c r="J98" s="279">
        <f>'Initial unit rates'!J224</f>
        <v>0</v>
      </c>
      <c r="K98" s="279">
        <f>'Initial unit rates'!K224</f>
        <v>0</v>
      </c>
      <c r="L98" s="279">
        <f>'Initial unit rates'!L224</f>
        <v>0</v>
      </c>
      <c r="M98" s="279">
        <f>'Initial unit rates'!M224</f>
        <v>0</v>
      </c>
      <c r="N98" s="279">
        <f>'Initial unit rates'!N224</f>
        <v>0</v>
      </c>
      <c r="O98" s="279">
        <f>'Initial unit rates'!O224</f>
        <v>0</v>
      </c>
      <c r="P98" s="279">
        <f>'Initial unit rates'!P224</f>
        <v>0</v>
      </c>
      <c r="Q98" s="279">
        <f>'Initial unit rates'!Q224</f>
        <v>0</v>
      </c>
      <c r="R98" s="279">
        <f>'Initial unit rates'!R224</f>
        <v>0</v>
      </c>
      <c r="S98" s="279">
        <f>'Initial unit rates'!S224</f>
        <v>0</v>
      </c>
      <c r="T98" s="279">
        <f>'Initial unit rates'!T224</f>
        <v>0</v>
      </c>
      <c r="U98" s="279">
        <f>'Initial unit rates'!U224</f>
        <v>0</v>
      </c>
      <c r="V98" s="279">
        <f>'Initial unit rates'!V224</f>
        <v>0</v>
      </c>
      <c r="W98" s="279">
        <f>'Initial unit rates'!W224</f>
        <v>0</v>
      </c>
      <c r="X98" s="279">
        <f>'Initial unit rates'!X224</f>
        <v>0</v>
      </c>
      <c r="Y98" s="279">
        <f>'Initial unit rates'!Y224</f>
        <v>0</v>
      </c>
      <c r="Z98" s="267"/>
      <c r="AA98" s="267"/>
    </row>
    <row r="99" spans="3:42" x14ac:dyDescent="0.35">
      <c r="D99"/>
      <c r="F99" t="s">
        <v>193</v>
      </c>
      <c r="G99" t="s">
        <v>269</v>
      </c>
      <c r="H99" s="267"/>
      <c r="I99" s="267"/>
      <c r="J99" s="279">
        <f>'Initial unit rates'!J225</f>
        <v>0</v>
      </c>
      <c r="K99" s="279">
        <f>'Initial unit rates'!K225</f>
        <v>0</v>
      </c>
      <c r="L99" s="279">
        <f>'Initial unit rates'!L225</f>
        <v>0</v>
      </c>
      <c r="M99" s="279">
        <f>'Initial unit rates'!M225</f>
        <v>0</v>
      </c>
      <c r="N99" s="279">
        <f>'Initial unit rates'!N225</f>
        <v>0</v>
      </c>
      <c r="O99" s="279">
        <f>'Initial unit rates'!O225</f>
        <v>0</v>
      </c>
      <c r="P99" s="279">
        <f>'Initial unit rates'!P225</f>
        <v>0</v>
      </c>
      <c r="Q99" s="279">
        <f>'Initial unit rates'!Q225</f>
        <v>0</v>
      </c>
      <c r="R99" s="279">
        <f>'Initial unit rates'!R225</f>
        <v>0</v>
      </c>
      <c r="S99" s="279">
        <f>'Initial unit rates'!S225</f>
        <v>0</v>
      </c>
      <c r="T99" s="279">
        <f>'Initial unit rates'!T225</f>
        <v>0</v>
      </c>
      <c r="U99" s="279">
        <f>'Initial unit rates'!U225</f>
        <v>0</v>
      </c>
      <c r="V99" s="279">
        <f>'Initial unit rates'!V225</f>
        <v>0</v>
      </c>
      <c r="W99" s="279">
        <f>'Initial unit rates'!W225</f>
        <v>0</v>
      </c>
      <c r="X99" s="279">
        <f>'Initial unit rates'!X225</f>
        <v>0</v>
      </c>
      <c r="Y99" s="279">
        <f>'Initial unit rates'!Y225</f>
        <v>0</v>
      </c>
      <c r="Z99" s="267"/>
      <c r="AA99" s="267"/>
    </row>
    <row r="100" spans="3:42" x14ac:dyDescent="0.35">
      <c r="D100"/>
      <c r="F100" t="s">
        <v>194</v>
      </c>
      <c r="G100" t="s">
        <v>269</v>
      </c>
      <c r="H100" s="267"/>
      <c r="I100" s="267"/>
      <c r="J100" s="279">
        <f>'Initial unit rates'!J226</f>
        <v>3.9651158351258646E-2</v>
      </c>
      <c r="K100" s="279">
        <f>'Initial unit rates'!K226</f>
        <v>3.9651158351258646E-2</v>
      </c>
      <c r="L100" s="279">
        <f>'Initial unit rates'!L226</f>
        <v>4.5501088702518414E-2</v>
      </c>
      <c r="M100" s="279">
        <f>'Initial unit rates'!M226</f>
        <v>4.5501088702518414E-2</v>
      </c>
      <c r="N100" s="279">
        <f>'Initial unit rates'!N226</f>
        <v>3.8644912527805358E-2</v>
      </c>
      <c r="O100" s="279">
        <f>'Initial unit rates'!O226</f>
        <v>3.1829245343509109E-2</v>
      </c>
      <c r="P100" s="279">
        <f>'Initial unit rates'!P226</f>
        <v>3.2680324690556727E-2</v>
      </c>
      <c r="Q100" s="279">
        <f>'Initial unit rates'!Q226</f>
        <v>2.4211006067089664E-2</v>
      </c>
      <c r="R100" s="279">
        <f>'Initial unit rates'!R226</f>
        <v>-3.0652787034048144E-2</v>
      </c>
      <c r="S100" s="279">
        <f>'Initial unit rates'!S226</f>
        <v>-2.9592909047429557E-2</v>
      </c>
      <c r="T100" s="279">
        <f>'Initial unit rates'!T226</f>
        <v>-3.0652787034048144E-2</v>
      </c>
      <c r="U100" s="279">
        <f>'Initial unit rates'!U226</f>
        <v>-3.0652787034048144E-2</v>
      </c>
      <c r="V100" s="279">
        <f>'Initial unit rates'!V226</f>
        <v>-2.9592909047429557E-2</v>
      </c>
      <c r="W100" s="279">
        <f>'Initial unit rates'!W226</f>
        <v>-2.9592909047429557E-2</v>
      </c>
      <c r="X100" s="279">
        <f>'Initial unit rates'!X226</f>
        <v>-2.8923512424302023E-2</v>
      </c>
      <c r="Y100" s="279">
        <f>'Initial unit rates'!Y226</f>
        <v>-2.8923512424302023E-2</v>
      </c>
      <c r="Z100" s="267"/>
      <c r="AA100" s="267"/>
    </row>
    <row r="101" spans="3:42" x14ac:dyDescent="0.35">
      <c r="D101"/>
      <c r="F101" t="s">
        <v>195</v>
      </c>
      <c r="G101" t="s">
        <v>269</v>
      </c>
      <c r="H101" s="267"/>
      <c r="I101" s="267"/>
      <c r="J101" s="279">
        <f>'Initial unit rates'!J227</f>
        <v>3.5876221577377611E-2</v>
      </c>
      <c r="K101" s="279">
        <f>'Initial unit rates'!K227</f>
        <v>3.5876221577377611E-2</v>
      </c>
      <c r="L101" s="279">
        <f>'Initial unit rates'!L227</f>
        <v>4.1169216945503094E-2</v>
      </c>
      <c r="M101" s="279">
        <f>'Initial unit rates'!M227</f>
        <v>4.1169216945503094E-2</v>
      </c>
      <c r="N101" s="279">
        <f>'Initial unit rates'!N227</f>
        <v>3.4965774074086069E-2</v>
      </c>
      <c r="O101" s="279">
        <f>'Initial unit rates'!O227</f>
        <v>2.87989835875299E-2</v>
      </c>
      <c r="P101" s="279">
        <f>'Initial unit rates'!P227</f>
        <v>2.9569037036262024E-2</v>
      </c>
      <c r="Q101" s="279">
        <f>'Initial unit rates'!Q227</f>
        <v>2.1906028837277852E-2</v>
      </c>
      <c r="R101" s="279">
        <f>'Initial unit rates'!R227</f>
        <v>-2.7734528455781435E-2</v>
      </c>
      <c r="S101" s="279">
        <f>'Initial unit rates'!S227</f>
        <v>-2.6775554769412284E-2</v>
      </c>
      <c r="T101" s="279">
        <f>'Initial unit rates'!T227</f>
        <v>-2.7734528455781435E-2</v>
      </c>
      <c r="U101" s="279">
        <f>'Initial unit rates'!U227</f>
        <v>-2.7734528455781435E-2</v>
      </c>
      <c r="V101" s="279">
        <f>'Initial unit rates'!V227</f>
        <v>-2.6775554769412284E-2</v>
      </c>
      <c r="W101" s="279">
        <f>'Initial unit rates'!W227</f>
        <v>-2.6775554769412284E-2</v>
      </c>
      <c r="X101" s="279">
        <f>'Initial unit rates'!X227</f>
        <v>-2.6169887178021239E-2</v>
      </c>
      <c r="Y101" s="279">
        <f>'Initial unit rates'!Y227</f>
        <v>-2.6169887178021239E-2</v>
      </c>
      <c r="Z101" s="267"/>
      <c r="AA101" s="267"/>
    </row>
    <row r="102" spans="3:42" x14ac:dyDescent="0.35">
      <c r="D102"/>
      <c r="F102" t="s">
        <v>196</v>
      </c>
      <c r="G102" t="s">
        <v>269</v>
      </c>
      <c r="H102" s="267"/>
      <c r="I102" s="267"/>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7"/>
      <c r="AA102" s="267"/>
    </row>
    <row r="103" spans="3:42" x14ac:dyDescent="0.35">
      <c r="D103"/>
      <c r="F103" t="s">
        <v>197</v>
      </c>
      <c r="G103" t="s">
        <v>269</v>
      </c>
      <c r="H103" s="267"/>
      <c r="I103" s="267"/>
      <c r="J103" s="279">
        <f>'Initial unit rates'!J229</f>
        <v>0.1680162944256631</v>
      </c>
      <c r="K103" s="279">
        <f>'Initial unit rates'!K229</f>
        <v>0.1680162944256631</v>
      </c>
      <c r="L103" s="279">
        <f>'Initial unit rates'!L229</f>
        <v>0.1928045644570148</v>
      </c>
      <c r="M103" s="279">
        <f>'Initial unit rates'!M229</f>
        <v>0.1928045644570148</v>
      </c>
      <c r="N103" s="279">
        <f>'Initial unit rates'!N229</f>
        <v>0.16375246704790489</v>
      </c>
      <c r="O103" s="279">
        <f>'Initial unit rates'!O229</f>
        <v>0.13487202087784489</v>
      </c>
      <c r="P103" s="279">
        <f>'Initial unit rates'!P229</f>
        <v>0.13847835179222576</v>
      </c>
      <c r="Q103" s="279">
        <f>'Initial unit rates'!Q229</f>
        <v>0.10259078657106943</v>
      </c>
      <c r="R103" s="279">
        <f>'Initial unit rates'!R229</f>
        <v>-0.12988694165390754</v>
      </c>
      <c r="S103" s="279">
        <f>'Initial unit rates'!S229</f>
        <v>-0.12539585540927742</v>
      </c>
      <c r="T103" s="279">
        <f>'Initial unit rates'!T229</f>
        <v>-0.12988694165390754</v>
      </c>
      <c r="U103" s="279">
        <f>'Initial unit rates'!U229</f>
        <v>-0.12988694165390754</v>
      </c>
      <c r="V103" s="279">
        <f>'Initial unit rates'!V229</f>
        <v>-0.12539585540927742</v>
      </c>
      <c r="W103" s="279">
        <f>'Initial unit rates'!W229</f>
        <v>-0.12539585540927742</v>
      </c>
      <c r="X103" s="279">
        <f>'Initial unit rates'!X229</f>
        <v>0</v>
      </c>
      <c r="Y103" s="279">
        <f>'Initial unit rates'!Y229</f>
        <v>0</v>
      </c>
      <c r="Z103" s="267"/>
      <c r="AA103" s="267"/>
    </row>
    <row r="104" spans="3:42" x14ac:dyDescent="0.35">
      <c r="D104"/>
      <c r="F104" t="s">
        <v>198</v>
      </c>
      <c r="G104" t="s">
        <v>269</v>
      </c>
      <c r="H104" s="267"/>
      <c r="I104" s="267"/>
      <c r="J104" s="279">
        <f>'Initial unit rates'!J230</f>
        <v>4.0685408848591974E-2</v>
      </c>
      <c r="K104" s="279">
        <f>'Initial unit rates'!K230</f>
        <v>4.0685408848591974E-2</v>
      </c>
      <c r="L104" s="279">
        <f>'Initial unit rates'!L230</f>
        <v>4.6687927261001384E-2</v>
      </c>
      <c r="M104" s="279">
        <f>'Initial unit rates'!M230</f>
        <v>4.6687927261001384E-2</v>
      </c>
      <c r="N104" s="279">
        <f>'Initial unit rates'!N230</f>
        <v>3.9652916370901577E-2</v>
      </c>
      <c r="O104" s="279">
        <f>'Initial unit rates'!O230</f>
        <v>3.2659471097184305E-2</v>
      </c>
      <c r="P104" s="279">
        <f>'Initial unit rates'!P230</f>
        <v>0</v>
      </c>
      <c r="Q104" s="279">
        <f>'Initial unit rates'!Q230</f>
        <v>2.4842519649719536E-2</v>
      </c>
      <c r="R104" s="279">
        <f>'Initial unit rates'!R230</f>
        <v>-3.1452326355289953E-2</v>
      </c>
      <c r="S104" s="279">
        <f>'Initial unit rates'!S230</f>
        <v>0</v>
      </c>
      <c r="T104" s="279">
        <f>'Initial unit rates'!T230</f>
        <v>-3.1452326355289953E-2</v>
      </c>
      <c r="U104" s="279">
        <f>'Initial unit rates'!U230</f>
        <v>-3.1452326355289953E-2</v>
      </c>
      <c r="V104" s="279">
        <f>'Initial unit rates'!V230</f>
        <v>0</v>
      </c>
      <c r="W104" s="279">
        <f>'Initial unit rates'!W230</f>
        <v>0</v>
      </c>
      <c r="X104" s="279">
        <f>'Initial unit rates'!X230</f>
        <v>0</v>
      </c>
      <c r="Y104" s="279">
        <f>'Initial unit rates'!Y230</f>
        <v>0</v>
      </c>
      <c r="Z104" s="267"/>
      <c r="AA104" s="267"/>
    </row>
    <row r="105" spans="3:42" x14ac:dyDescent="0.35">
      <c r="D105"/>
      <c r="F105" t="s">
        <v>199</v>
      </c>
      <c r="G105" t="s">
        <v>269</v>
      </c>
      <c r="H105" s="267"/>
      <c r="I105" s="267"/>
      <c r="J105" s="279">
        <f>'Initial unit rates'!J231</f>
        <v>9.6579389013993988E-2</v>
      </c>
      <c r="K105" s="279">
        <f>'Initial unit rates'!K231</f>
        <v>9.6579389013993988E-2</v>
      </c>
      <c r="L105" s="279">
        <f>'Initial unit rates'!L231</f>
        <v>0.11082822114379111</v>
      </c>
      <c r="M105" s="279">
        <f>'Initial unit rates'!M231</f>
        <v>0.11082822114379111</v>
      </c>
      <c r="N105" s="279">
        <f>'Initial unit rates'!N231</f>
        <v>9.4128449095263508E-2</v>
      </c>
      <c r="O105" s="279">
        <f>'Initial unit rates'!O231</f>
        <v>0</v>
      </c>
      <c r="P105" s="279">
        <f>'Initial unit rates'!P231</f>
        <v>0</v>
      </c>
      <c r="Q105" s="279">
        <f>'Initial unit rates'!Q231</f>
        <v>5.8971396312294547E-2</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7"/>
      <c r="AA105" s="267"/>
    </row>
    <row r="106" spans="3:42" x14ac:dyDescent="0.35">
      <c r="D106"/>
      <c r="F106" s="23" t="s">
        <v>376</v>
      </c>
      <c r="G106" s="23" t="s">
        <v>269</v>
      </c>
      <c r="H106" s="266"/>
      <c r="I106" s="266" t="s">
        <v>154</v>
      </c>
      <c r="J106" s="280"/>
      <c r="K106" s="280"/>
      <c r="L106" s="280"/>
      <c r="M106" s="280"/>
      <c r="N106" s="280"/>
      <c r="O106" s="280"/>
      <c r="P106" s="280"/>
      <c r="Q106" s="278">
        <f>'Service model charges'!$Q$44</f>
        <v>2.564029683035268</v>
      </c>
      <c r="R106" s="280"/>
      <c r="S106" s="280"/>
      <c r="T106" s="280"/>
      <c r="U106" s="280"/>
      <c r="V106" s="280"/>
      <c r="W106" s="280"/>
      <c r="X106" s="280"/>
      <c r="Y106" s="280"/>
      <c r="Z106" s="267"/>
      <c r="AA106" s="267" t="s">
        <v>654</v>
      </c>
    </row>
    <row r="107" spans="3:42" x14ac:dyDescent="0.35">
      <c r="D107"/>
      <c r="F107" s="37" t="s">
        <v>377</v>
      </c>
      <c r="G107" s="37" t="s">
        <v>269</v>
      </c>
      <c r="H107" s="269"/>
      <c r="I107" s="269"/>
      <c r="J107" s="270"/>
      <c r="K107" s="270"/>
      <c r="L107" s="270"/>
      <c r="M107" s="270"/>
      <c r="N107" s="270"/>
      <c r="O107" s="270"/>
      <c r="P107" s="270"/>
      <c r="Q107" s="270"/>
      <c r="R107" s="270"/>
      <c r="S107" s="270"/>
      <c r="T107" s="270"/>
      <c r="U107" s="270"/>
      <c r="V107" s="270"/>
      <c r="W107" s="270"/>
      <c r="X107" s="270"/>
      <c r="Y107" s="270"/>
      <c r="Z107" s="267"/>
      <c r="AA107" s="267"/>
    </row>
    <row r="109" spans="3:42" x14ac:dyDescent="0.3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35">
      <c r="D110" s="32"/>
      <c r="E110" s="32"/>
      <c r="J110" s="63"/>
      <c r="K110" s="63"/>
      <c r="L110" s="63"/>
      <c r="M110" s="63"/>
      <c r="N110" s="63"/>
      <c r="O110" s="63"/>
      <c r="P110" s="63"/>
      <c r="Q110" s="63"/>
      <c r="R110" s="63"/>
      <c r="S110" s="63"/>
      <c r="T110" s="63"/>
      <c r="U110" s="63"/>
      <c r="V110" s="63"/>
      <c r="W110" s="63"/>
      <c r="X110" s="63"/>
      <c r="Y110" s="63"/>
    </row>
    <row r="111" spans="3:42" x14ac:dyDescent="0.35">
      <c r="D111"/>
      <c r="E111" s="32" t="s">
        <v>120</v>
      </c>
      <c r="H111" s="14"/>
      <c r="I111" t="s">
        <v>154</v>
      </c>
      <c r="J111" s="63"/>
      <c r="L111" s="63"/>
      <c r="AA111" t="s">
        <v>203</v>
      </c>
      <c r="AP111" s="3"/>
    </row>
    <row r="112" spans="3:42" x14ac:dyDescent="0.35">
      <c r="C112" s="32"/>
      <c r="D112"/>
      <c r="E112"/>
      <c r="F112" s="23" t="s">
        <v>191</v>
      </c>
      <c r="G112" s="23" t="s">
        <v>167</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35">
      <c r="C113" s="32"/>
      <c r="D113"/>
      <c r="E113"/>
      <c r="F113" t="s">
        <v>192</v>
      </c>
      <c r="G113" t="s">
        <v>167</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35">
      <c r="C114" s="32"/>
      <c r="D114"/>
      <c r="E114"/>
      <c r="F114" t="s">
        <v>193</v>
      </c>
      <c r="G114" t="s">
        <v>167</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35">
      <c r="C115" s="32"/>
      <c r="D115"/>
      <c r="E115"/>
      <c r="F115" t="s">
        <v>194</v>
      </c>
      <c r="G115" t="s">
        <v>167</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35">
      <c r="C116" s="32"/>
      <c r="D116"/>
      <c r="E116"/>
      <c r="F116" t="s">
        <v>195</v>
      </c>
      <c r="G116" t="s">
        <v>167</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35">
      <c r="C117" s="32"/>
      <c r="D117"/>
      <c r="E117"/>
      <c r="F117" t="s">
        <v>196</v>
      </c>
      <c r="G117" t="s">
        <v>167</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35">
      <c r="C118" s="32"/>
      <c r="D118"/>
      <c r="E118"/>
      <c r="F118" t="s">
        <v>197</v>
      </c>
      <c r="G118" t="s">
        <v>167</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35">
      <c r="C119" s="32"/>
      <c r="D119"/>
      <c r="E119"/>
      <c r="F119" t="s">
        <v>198</v>
      </c>
      <c r="G119" t="s">
        <v>167</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35">
      <c r="C120" s="32"/>
      <c r="D120"/>
      <c r="E120"/>
      <c r="F120" s="37" t="s">
        <v>199</v>
      </c>
      <c r="G120" s="37" t="s">
        <v>167</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35">
      <c r="B122" s="30" t="s">
        <v>655</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3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35">
      <c r="C125" s="32"/>
      <c r="D125"/>
      <c r="E125" s="32"/>
      <c r="I125" t="s">
        <v>154</v>
      </c>
      <c r="AA125" t="s">
        <v>656</v>
      </c>
    </row>
    <row r="126" spans="2:42" x14ac:dyDescent="0.35">
      <c r="E126" s="32" t="s">
        <v>621</v>
      </c>
    </row>
    <row r="127" spans="2:42" x14ac:dyDescent="0.35">
      <c r="F127" s="23" t="s">
        <v>189</v>
      </c>
      <c r="G127" s="23" t="s">
        <v>269</v>
      </c>
      <c r="H127" s="266"/>
      <c r="I127" s="266"/>
      <c r="J127" s="434">
        <f t="shared" ref="J127:K127" si="0">J22 * (1 - J$112)</f>
        <v>0</v>
      </c>
      <c r="K127" s="434">
        <f t="shared" si="0"/>
        <v>0</v>
      </c>
      <c r="L127" s="434">
        <f t="shared" ref="L127:M127" si="1">L22 * (1 - L$112)</f>
        <v>0</v>
      </c>
      <c r="M127" s="434">
        <f t="shared" si="1"/>
        <v>0</v>
      </c>
      <c r="N127" s="434">
        <f t="shared" ref="N127:P127" si="2">N22 * (1 - N$112)</f>
        <v>0</v>
      </c>
      <c r="O127" s="434">
        <f t="shared" si="2"/>
        <v>0</v>
      </c>
      <c r="P127" s="434">
        <f t="shared" si="2"/>
        <v>0</v>
      </c>
      <c r="Q127" s="434">
        <f t="shared" ref="Q127:S127" si="3">Q22 * (1 - Q$112)</f>
        <v>0</v>
      </c>
      <c r="R127" s="434">
        <f t="shared" si="3"/>
        <v>0</v>
      </c>
      <c r="S127" s="434">
        <f t="shared" si="3"/>
        <v>0</v>
      </c>
      <c r="T127" s="434">
        <f t="shared" ref="T127:U127" si="4">T22 * (1 - T$112)</f>
        <v>0</v>
      </c>
      <c r="U127" s="434">
        <f t="shared" si="4"/>
        <v>0</v>
      </c>
      <c r="V127" s="434">
        <f t="shared" ref="V127:W127" si="5">V22 * (1 - V$112)</f>
        <v>0</v>
      </c>
      <c r="W127" s="434">
        <f t="shared" si="5"/>
        <v>0</v>
      </c>
      <c r="X127" s="434">
        <f t="shared" ref="X127:Y127" si="6">X22 * (1 - X$112)</f>
        <v>0</v>
      </c>
      <c r="Y127" s="434">
        <f t="shared" si="6"/>
        <v>0</v>
      </c>
      <c r="Z127" s="267"/>
      <c r="AA127" s="267"/>
    </row>
    <row r="128" spans="2:42" x14ac:dyDescent="0.35">
      <c r="F128" t="s">
        <v>191</v>
      </c>
      <c r="G128" t="s">
        <v>269</v>
      </c>
      <c r="H128" s="267"/>
      <c r="I128" s="267"/>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7"/>
      <c r="AA128" s="267"/>
    </row>
    <row r="129" spans="4:27" x14ac:dyDescent="0.35">
      <c r="F129" t="s">
        <v>192</v>
      </c>
      <c r="G129" t="s">
        <v>269</v>
      </c>
      <c r="H129" s="267"/>
      <c r="I129" s="267"/>
      <c r="J129" s="282">
        <f t="shared" ref="J129:K129" si="14">J24 * (1 - J$113)</f>
        <v>0</v>
      </c>
      <c r="K129" s="282">
        <f t="shared" si="14"/>
        <v>0</v>
      </c>
      <c r="L129" s="282">
        <f t="shared" ref="L129:M129" si="15">L24 * (1 - L$113)</f>
        <v>0</v>
      </c>
      <c r="M129" s="282">
        <f t="shared" si="15"/>
        <v>0</v>
      </c>
      <c r="N129" s="282">
        <f t="shared" ref="N129:P129" si="16">N24 * (1 - N$113)</f>
        <v>0</v>
      </c>
      <c r="O129" s="282">
        <f t="shared" si="16"/>
        <v>0</v>
      </c>
      <c r="P129" s="282">
        <f t="shared" si="16"/>
        <v>0</v>
      </c>
      <c r="Q129" s="282">
        <f t="shared" ref="Q129:S129" si="17">Q24 * (1 - Q$113)</f>
        <v>0</v>
      </c>
      <c r="R129" s="282">
        <f t="shared" si="17"/>
        <v>0</v>
      </c>
      <c r="S129" s="282">
        <f t="shared" si="17"/>
        <v>0</v>
      </c>
      <c r="T129" s="282">
        <f t="shared" ref="T129:U129" si="18">T24 * (1 - T$113)</f>
        <v>0</v>
      </c>
      <c r="U129" s="282">
        <f t="shared" si="18"/>
        <v>0</v>
      </c>
      <c r="V129" s="282">
        <f t="shared" ref="V129:W129" si="19">V24 * (1 - V$113)</f>
        <v>0</v>
      </c>
      <c r="W129" s="282">
        <f t="shared" si="19"/>
        <v>0</v>
      </c>
      <c r="X129" s="282">
        <f t="shared" ref="X129:Y129" si="20">X24 * (1 - X$113)</f>
        <v>0</v>
      </c>
      <c r="Y129" s="282">
        <f t="shared" si="20"/>
        <v>0</v>
      </c>
      <c r="Z129" s="267"/>
      <c r="AA129" s="267"/>
    </row>
    <row r="130" spans="4:27" x14ac:dyDescent="0.35">
      <c r="F130" t="s">
        <v>193</v>
      </c>
      <c r="G130" t="s">
        <v>269</v>
      </c>
      <c r="H130" s="267"/>
      <c r="I130" s="267"/>
      <c r="J130" s="282">
        <f t="shared" ref="J130:K130" si="21">J25 * (1 - J$114)</f>
        <v>0</v>
      </c>
      <c r="K130" s="282">
        <f t="shared" si="21"/>
        <v>0</v>
      </c>
      <c r="L130" s="282">
        <f t="shared" ref="L130:M130" si="22">L25 * (1 - L$114)</f>
        <v>0</v>
      </c>
      <c r="M130" s="282">
        <f t="shared" si="22"/>
        <v>0</v>
      </c>
      <c r="N130" s="282">
        <f t="shared" ref="N130:P130" si="23">N25 * (1 - N$114)</f>
        <v>0</v>
      </c>
      <c r="O130" s="282">
        <f t="shared" si="23"/>
        <v>0</v>
      </c>
      <c r="P130" s="282">
        <f t="shared" si="23"/>
        <v>0</v>
      </c>
      <c r="Q130" s="282">
        <f t="shared" ref="Q130:S130" si="24">Q25 * (1 - Q$114)</f>
        <v>0</v>
      </c>
      <c r="R130" s="282">
        <f t="shared" si="24"/>
        <v>0</v>
      </c>
      <c r="S130" s="282">
        <f t="shared" si="24"/>
        <v>0</v>
      </c>
      <c r="T130" s="282">
        <f t="shared" ref="T130:U130" si="25">T25 * (1 - T$114)</f>
        <v>0</v>
      </c>
      <c r="U130" s="282">
        <f t="shared" si="25"/>
        <v>0</v>
      </c>
      <c r="V130" s="282">
        <f t="shared" ref="V130:W130" si="26">V25 * (1 - V$114)</f>
        <v>0</v>
      </c>
      <c r="W130" s="282">
        <f t="shared" si="26"/>
        <v>0</v>
      </c>
      <c r="X130" s="282">
        <f t="shared" ref="X130:Y130" si="27">X25 * (1 - X$114)</f>
        <v>0</v>
      </c>
      <c r="Y130" s="282">
        <f t="shared" si="27"/>
        <v>0</v>
      </c>
      <c r="Z130" s="267"/>
      <c r="AA130" s="267"/>
    </row>
    <row r="131" spans="4:27" x14ac:dyDescent="0.35">
      <c r="F131" t="s">
        <v>194</v>
      </c>
      <c r="G131" t="s">
        <v>269</v>
      </c>
      <c r="H131" s="267"/>
      <c r="I131" s="267"/>
      <c r="J131" s="282">
        <f t="shared" ref="J131:K131" si="28">J26 * (1 - J$115)</f>
        <v>0.70661953549366363</v>
      </c>
      <c r="K131" s="282">
        <f t="shared" si="28"/>
        <v>0.70661953549366363</v>
      </c>
      <c r="L131" s="282">
        <f t="shared" ref="L131:M131" si="29">L26 * (1 - L$115)</f>
        <v>0.81087058992335737</v>
      </c>
      <c r="M131" s="282">
        <f t="shared" si="29"/>
        <v>0.81087058992335737</v>
      </c>
      <c r="N131" s="282">
        <f t="shared" ref="N131:P131" si="30">N26 * (1 - N$115)</f>
        <v>0.68868732402931865</v>
      </c>
      <c r="O131" s="282">
        <f t="shared" si="30"/>
        <v>0.56722596501472244</v>
      </c>
      <c r="P131" s="282">
        <f t="shared" si="30"/>
        <v>0.46344590309632283</v>
      </c>
      <c r="Q131" s="282">
        <f t="shared" ref="Q131:S131" si="31">Q26 * (1 - Q$115)</f>
        <v>0.98148265327613793</v>
      </c>
      <c r="R131" s="282">
        <f t="shared" si="31"/>
        <v>-0.54626041296717243</v>
      </c>
      <c r="S131" s="282">
        <f t="shared" si="31"/>
        <v>-0.52737242780543203</v>
      </c>
      <c r="T131" s="282">
        <f t="shared" ref="T131:U131" si="32">T26 * (1 - T$115)</f>
        <v>-0.54626041296717243</v>
      </c>
      <c r="U131" s="282">
        <f t="shared" si="32"/>
        <v>-0.54626041296717243</v>
      </c>
      <c r="V131" s="282">
        <f t="shared" ref="V131:W131" si="33">V26 * (1 - V$115)</f>
        <v>-0.52737242780543203</v>
      </c>
      <c r="W131" s="282">
        <f t="shared" si="33"/>
        <v>-0.52737242780543203</v>
      </c>
      <c r="X131" s="282">
        <f t="shared" ref="X131:Y131" si="34">X26 * (1 - X$115)</f>
        <v>-0.51271229184236466</v>
      </c>
      <c r="Y131" s="282">
        <f t="shared" si="34"/>
        <v>-0.51271229184236466</v>
      </c>
      <c r="Z131" s="267"/>
      <c r="AA131" s="267"/>
    </row>
    <row r="132" spans="4:27" x14ac:dyDescent="0.35">
      <c r="F132" t="s">
        <v>195</v>
      </c>
      <c r="G132" t="s">
        <v>269</v>
      </c>
      <c r="H132" s="267"/>
      <c r="I132" s="267"/>
      <c r="J132" s="282">
        <f t="shared" ref="J132:K132" si="35">J27 * (1 - J$116)</f>
        <v>0.64080881864913986</v>
      </c>
      <c r="K132" s="282">
        <f t="shared" si="35"/>
        <v>0.64080881864913986</v>
      </c>
      <c r="L132" s="282">
        <f t="shared" ref="L132:M132" si="36">L27 * (1 - L$116)</f>
        <v>0.73535049443984291</v>
      </c>
      <c r="M132" s="282">
        <f t="shared" si="36"/>
        <v>0.73535049443984291</v>
      </c>
      <c r="N132" s="282">
        <f t="shared" ref="N132:P132" si="37">N27 * (1 - N$116)</f>
        <v>0.62454671624886371</v>
      </c>
      <c r="O132" s="282">
        <f t="shared" si="37"/>
        <v>0.51439761044005572</v>
      </c>
      <c r="P132" s="282">
        <f t="shared" si="37"/>
        <v>0</v>
      </c>
      <c r="Q132" s="282">
        <f t="shared" ref="Q132:S132" si="38">Q27 * (1 - Q$116)</f>
        <v>0.89007267415994773</v>
      </c>
      <c r="R132" s="282">
        <f t="shared" si="38"/>
        <v>-0.4953846763714671</v>
      </c>
      <c r="S132" s="282">
        <f t="shared" si="38"/>
        <v>-0.47825581585998783</v>
      </c>
      <c r="T132" s="282">
        <f t="shared" ref="T132:U132" si="39">T27 * (1 - T$116)</f>
        <v>-0.4953846763714671</v>
      </c>
      <c r="U132" s="282">
        <f t="shared" si="39"/>
        <v>-0.4953846763714671</v>
      </c>
      <c r="V132" s="282">
        <f t="shared" ref="V132:W132" si="40">V27 * (1 - V$116)</f>
        <v>-0.47825581585998783</v>
      </c>
      <c r="W132" s="282">
        <f t="shared" si="40"/>
        <v>-0.47825581585998783</v>
      </c>
      <c r="X132" s="282">
        <f t="shared" ref="X132:Y132" si="41">X27 * (1 - X$116)</f>
        <v>-0.46583929410857516</v>
      </c>
      <c r="Y132" s="282">
        <f t="shared" si="41"/>
        <v>-0.46583929410857516</v>
      </c>
      <c r="Z132" s="267"/>
      <c r="AA132" s="267"/>
    </row>
    <row r="133" spans="4:27" x14ac:dyDescent="0.35">
      <c r="F133" t="s">
        <v>196</v>
      </c>
      <c r="G133" t="s">
        <v>269</v>
      </c>
      <c r="H133" s="267"/>
      <c r="I133" s="267"/>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7"/>
      <c r="AA133" s="267"/>
    </row>
    <row r="134" spans="4:27" x14ac:dyDescent="0.35">
      <c r="F134" t="s">
        <v>197</v>
      </c>
      <c r="G134" t="s">
        <v>269</v>
      </c>
      <c r="H134" s="267"/>
      <c r="I134" s="267"/>
      <c r="J134" s="282">
        <f t="shared" ref="J134:K134" si="49">J29 * (1 - J$118)</f>
        <v>1.3546821454642599</v>
      </c>
      <c r="K134" s="282">
        <f t="shared" si="49"/>
        <v>1.3546821454642599</v>
      </c>
      <c r="L134" s="282">
        <f t="shared" ref="L134:M134" si="50">L29 * (1 - L$118)</f>
        <v>1.5545450631842797</v>
      </c>
      <c r="M134" s="282">
        <f t="shared" si="50"/>
        <v>1.5545450631842797</v>
      </c>
      <c r="N134" s="282">
        <f t="shared" ref="N134:P134" si="51">N29 * (1 - N$118)</f>
        <v>1.0562429990201629</v>
      </c>
      <c r="O134" s="282">
        <f t="shared" si="51"/>
        <v>0</v>
      </c>
      <c r="P134" s="282">
        <f t="shared" si="51"/>
        <v>0</v>
      </c>
      <c r="Q134" s="282">
        <f t="shared" ref="Q134:S134" si="52">Q29 * (1 - Q$118)</f>
        <v>1.8546643190512213</v>
      </c>
      <c r="R134" s="282">
        <f t="shared" si="52"/>
        <v>-1.0472527167021659</v>
      </c>
      <c r="S134" s="282">
        <f t="shared" si="52"/>
        <v>-1.0110419767252028</v>
      </c>
      <c r="T134" s="282">
        <f t="shared" ref="T134:U134" si="53">T29 * (1 - T$118)</f>
        <v>-1.0472527167021659</v>
      </c>
      <c r="U134" s="282">
        <f t="shared" si="53"/>
        <v>-1.0472527167021659</v>
      </c>
      <c r="V134" s="282">
        <f t="shared" ref="V134:W134" si="54">V29 * (1 - V$118)</f>
        <v>-1.0110419767252028</v>
      </c>
      <c r="W134" s="282">
        <f t="shared" si="54"/>
        <v>-1.0110419767252028</v>
      </c>
      <c r="X134" s="282">
        <f t="shared" ref="X134:Y134" si="55">X29 * (1 - X$118)</f>
        <v>0</v>
      </c>
      <c r="Y134" s="282">
        <f t="shared" si="55"/>
        <v>0</v>
      </c>
      <c r="Z134" s="267"/>
      <c r="AA134" s="267"/>
    </row>
    <row r="135" spans="4:27" x14ac:dyDescent="0.35">
      <c r="F135" t="s">
        <v>198</v>
      </c>
      <c r="G135" t="s">
        <v>269</v>
      </c>
      <c r="H135" s="267"/>
      <c r="I135" s="267"/>
      <c r="J135" s="282">
        <f t="shared" ref="J135:K135" si="56">J30 * (1 - J$119)</f>
        <v>0.12407037170954449</v>
      </c>
      <c r="K135" s="282">
        <f t="shared" si="56"/>
        <v>0.12407037170954449</v>
      </c>
      <c r="L135" s="282">
        <f t="shared" ref="L135:M135" si="57">L30 * (1 - L$119)</f>
        <v>0.1423750836860789</v>
      </c>
      <c r="M135" s="282">
        <f t="shared" si="57"/>
        <v>0.1423750836860789</v>
      </c>
      <c r="N135" s="282">
        <f t="shared" ref="N135:P135" si="58">N30 * (1 - N$119)</f>
        <v>0</v>
      </c>
      <c r="O135" s="282">
        <f t="shared" si="58"/>
        <v>0</v>
      </c>
      <c r="P135" s="282">
        <f t="shared" si="58"/>
        <v>0</v>
      </c>
      <c r="Q135" s="282">
        <f t="shared" ref="Q135:S135" si="59">Q30 * (1 - Q$119)</f>
        <v>0.16986190615382632</v>
      </c>
      <c r="R135" s="282">
        <f t="shared" si="59"/>
        <v>-9.5914037303960295E-2</v>
      </c>
      <c r="S135" s="282">
        <f t="shared" si="59"/>
        <v>0</v>
      </c>
      <c r="T135" s="282">
        <f t="shared" ref="T135:U135" si="60">T30 * (1 - T$119)</f>
        <v>-9.5914037303960295E-2</v>
      </c>
      <c r="U135" s="282">
        <f t="shared" si="60"/>
        <v>-9.5914037303960295E-2</v>
      </c>
      <c r="V135" s="282">
        <f t="shared" ref="V135:W135" si="61">V30 * (1 - V$119)</f>
        <v>0</v>
      </c>
      <c r="W135" s="282">
        <f t="shared" si="61"/>
        <v>0</v>
      </c>
      <c r="X135" s="282">
        <f t="shared" ref="X135:Y135" si="62">X30 * (1 - X$119)</f>
        <v>0</v>
      </c>
      <c r="Y135" s="282">
        <f t="shared" si="62"/>
        <v>0</v>
      </c>
      <c r="Z135" s="267"/>
      <c r="AA135" s="267"/>
    </row>
    <row r="136" spans="4:27" x14ac:dyDescent="0.35">
      <c r="F136" t="s">
        <v>199</v>
      </c>
      <c r="G136" t="s">
        <v>269</v>
      </c>
      <c r="H136" s="267"/>
      <c r="I136" s="267"/>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6.1686826209113192E-2</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7"/>
      <c r="AA136" s="267"/>
    </row>
    <row r="137" spans="4:27" x14ac:dyDescent="0.35">
      <c r="D137"/>
      <c r="F137" s="23" t="s">
        <v>376</v>
      </c>
      <c r="G137" s="23" t="s">
        <v>269</v>
      </c>
      <c r="H137" s="266"/>
      <c r="I137" s="266"/>
      <c r="J137" s="280"/>
      <c r="K137" s="280"/>
      <c r="L137" s="280"/>
      <c r="M137" s="280"/>
      <c r="N137" s="280"/>
      <c r="O137" s="280"/>
      <c r="P137" s="280"/>
      <c r="Q137" s="280"/>
      <c r="R137" s="280"/>
      <c r="S137" s="280"/>
      <c r="T137" s="280"/>
      <c r="U137" s="280"/>
      <c r="V137" s="280"/>
      <c r="W137" s="280"/>
      <c r="X137" s="280"/>
      <c r="Y137" s="280"/>
      <c r="Z137" s="267"/>
      <c r="AA137" s="267"/>
    </row>
    <row r="138" spans="4:27" x14ac:dyDescent="0.35">
      <c r="D138"/>
      <c r="F138" s="37" t="s">
        <v>377</v>
      </c>
      <c r="G138" s="37" t="s">
        <v>269</v>
      </c>
      <c r="H138" s="269"/>
      <c r="I138" s="269"/>
      <c r="J138" s="270"/>
      <c r="K138" s="270"/>
      <c r="L138" s="270"/>
      <c r="M138" s="270"/>
      <c r="N138" s="270"/>
      <c r="O138" s="270"/>
      <c r="P138" s="270"/>
      <c r="Q138" s="270"/>
      <c r="R138" s="270"/>
      <c r="S138" s="270"/>
      <c r="T138" s="270"/>
      <c r="U138" s="270"/>
      <c r="V138" s="270"/>
      <c r="W138" s="270"/>
      <c r="X138" s="270"/>
      <c r="Y138" s="270"/>
      <c r="Z138" s="267"/>
      <c r="AA138" s="267"/>
    </row>
    <row r="139" spans="4:27" x14ac:dyDescent="0.35">
      <c r="E139"/>
      <c r="J139" s="89"/>
      <c r="K139" s="89"/>
      <c r="L139" s="89"/>
      <c r="M139" s="89"/>
      <c r="N139" s="89"/>
      <c r="O139" s="89"/>
      <c r="P139" s="89"/>
      <c r="Q139" s="89"/>
      <c r="R139" s="89"/>
      <c r="S139" s="89"/>
      <c r="T139" s="89"/>
      <c r="U139" s="89"/>
      <c r="V139" s="89"/>
      <c r="W139" s="89"/>
      <c r="X139" s="89"/>
      <c r="Y139" s="89"/>
    </row>
    <row r="140" spans="4:27" x14ac:dyDescent="0.35">
      <c r="E140" s="32" t="s">
        <v>622</v>
      </c>
      <c r="J140" s="89"/>
      <c r="K140" s="89"/>
      <c r="L140" s="89"/>
      <c r="M140" s="89"/>
      <c r="N140" s="89"/>
      <c r="O140" s="89"/>
      <c r="P140" s="89"/>
      <c r="Q140" s="89"/>
      <c r="R140" s="89"/>
      <c r="S140" s="89"/>
      <c r="T140" s="89"/>
      <c r="U140" s="89"/>
      <c r="V140" s="89"/>
      <c r="W140" s="89"/>
      <c r="X140" s="89"/>
      <c r="Y140" s="89"/>
    </row>
    <row r="141" spans="4:27" x14ac:dyDescent="0.35">
      <c r="F141" s="23" t="s">
        <v>189</v>
      </c>
      <c r="G141" s="23" t="s">
        <v>269</v>
      </c>
      <c r="H141" s="266"/>
      <c r="I141" s="266"/>
      <c r="J141" s="434">
        <f t="shared" ref="J141:K141" si="70">J36 * (1 - J$112)</f>
        <v>2.1089419394156224</v>
      </c>
      <c r="K141" s="434">
        <f t="shared" si="70"/>
        <v>2.1089419394156224</v>
      </c>
      <c r="L141" s="434">
        <f t="shared" ref="L141:M141" si="71">L36 * (1 - L$112)</f>
        <v>2.4200845131366866</v>
      </c>
      <c r="M141" s="434">
        <f t="shared" si="71"/>
        <v>2.4200845131366866</v>
      </c>
      <c r="N141" s="434">
        <f t="shared" ref="N141:P141" si="72">N36 * (1 - N$112)</f>
        <v>2.0554223423424869</v>
      </c>
      <c r="O141" s="434">
        <f t="shared" si="72"/>
        <v>1.6929147393431689</v>
      </c>
      <c r="P141" s="434">
        <f t="shared" si="72"/>
        <v>1.7381814352832692</v>
      </c>
      <c r="Q141" s="434">
        <f t="shared" ref="Q141:S141" si="73">Q36 * (1 - Q$112)</f>
        <v>3.0680215527927208</v>
      </c>
      <c r="R141" s="434">
        <f t="shared" si="73"/>
        <v>-1.6303419830363544</v>
      </c>
      <c r="S141" s="434">
        <f t="shared" si="73"/>
        <v>-1.5739698307566623</v>
      </c>
      <c r="T141" s="434">
        <f t="shared" ref="T141:U141" si="74">T36 * (1 - T$112)</f>
        <v>-1.6303419830363544</v>
      </c>
      <c r="U141" s="434">
        <f t="shared" si="74"/>
        <v>-1.6303419830363544</v>
      </c>
      <c r="V141" s="434">
        <f t="shared" ref="V141:W141" si="75">V36 * (1 - V$112)</f>
        <v>-1.5739698307566623</v>
      </c>
      <c r="W141" s="434">
        <f t="shared" si="75"/>
        <v>-1.5739698307566623</v>
      </c>
      <c r="X141" s="434">
        <f t="shared" ref="X141:Y141" si="76">X36 * (1 - X$112)</f>
        <v>-1.5383663661589622</v>
      </c>
      <c r="Y141" s="434">
        <f t="shared" si="76"/>
        <v>-1.5383663661589622</v>
      </c>
      <c r="Z141" s="267"/>
      <c r="AA141" s="267"/>
    </row>
    <row r="142" spans="4:27" x14ac:dyDescent="0.35">
      <c r="F142" t="s">
        <v>191</v>
      </c>
      <c r="G142" t="s">
        <v>269</v>
      </c>
      <c r="H142" s="267"/>
      <c r="I142" s="267"/>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7"/>
      <c r="AA142" s="267"/>
    </row>
    <row r="143" spans="4:27" x14ac:dyDescent="0.35">
      <c r="F143" t="s">
        <v>192</v>
      </c>
      <c r="G143" t="s">
        <v>269</v>
      </c>
      <c r="H143" s="267"/>
      <c r="I143" s="267"/>
      <c r="J143" s="282">
        <f t="shared" ref="J143:K143" si="84">J38 * (1 - J$113)</f>
        <v>0</v>
      </c>
      <c r="K143" s="282">
        <f t="shared" si="84"/>
        <v>0</v>
      </c>
      <c r="L143" s="282">
        <f t="shared" ref="L143:M143" si="85">L38 * (1 - L$113)</f>
        <v>0</v>
      </c>
      <c r="M143" s="282">
        <f t="shared" si="85"/>
        <v>0</v>
      </c>
      <c r="N143" s="282">
        <f t="shared" ref="N143:P143" si="86">N38 * (1 - N$113)</f>
        <v>0</v>
      </c>
      <c r="O143" s="282">
        <f t="shared" si="86"/>
        <v>0</v>
      </c>
      <c r="P143" s="282">
        <f t="shared" si="86"/>
        <v>0</v>
      </c>
      <c r="Q143" s="282">
        <f t="shared" ref="Q143:S143" si="87">Q38 * (1 - Q$113)</f>
        <v>0</v>
      </c>
      <c r="R143" s="282">
        <f t="shared" si="87"/>
        <v>0</v>
      </c>
      <c r="S143" s="282">
        <f t="shared" si="87"/>
        <v>0</v>
      </c>
      <c r="T143" s="282">
        <f t="shared" ref="T143:U143" si="88">T38 * (1 - T$113)</f>
        <v>0</v>
      </c>
      <c r="U143" s="282">
        <f t="shared" si="88"/>
        <v>0</v>
      </c>
      <c r="V143" s="282">
        <f t="shared" ref="V143:W143" si="89">V38 * (1 - V$113)</f>
        <v>0</v>
      </c>
      <c r="W143" s="282">
        <f t="shared" si="89"/>
        <v>0</v>
      </c>
      <c r="X143" s="282">
        <f t="shared" ref="X143:Y143" si="90">X38 * (1 - X$113)</f>
        <v>0</v>
      </c>
      <c r="Y143" s="282">
        <f t="shared" si="90"/>
        <v>0</v>
      </c>
      <c r="Z143" s="267"/>
      <c r="AA143" s="267"/>
    </row>
    <row r="144" spans="4:27" x14ac:dyDescent="0.35">
      <c r="F144" t="s">
        <v>193</v>
      </c>
      <c r="G144" t="s">
        <v>269</v>
      </c>
      <c r="H144" s="267"/>
      <c r="I144" s="267"/>
      <c r="J144" s="282">
        <f t="shared" ref="J144:K144" si="91">J39 * (1 - J$114)</f>
        <v>0</v>
      </c>
      <c r="K144" s="282">
        <f t="shared" si="91"/>
        <v>0</v>
      </c>
      <c r="L144" s="282">
        <f t="shared" ref="L144:M144" si="92">L39 * (1 - L$114)</f>
        <v>0</v>
      </c>
      <c r="M144" s="282">
        <f t="shared" si="92"/>
        <v>0</v>
      </c>
      <c r="N144" s="282">
        <f t="shared" ref="N144:P144" si="93">N39 * (1 - N$114)</f>
        <v>0</v>
      </c>
      <c r="O144" s="282">
        <f t="shared" si="93"/>
        <v>0</v>
      </c>
      <c r="P144" s="282">
        <f t="shared" si="93"/>
        <v>0</v>
      </c>
      <c r="Q144" s="282">
        <f t="shared" ref="Q144:S144" si="94">Q39 * (1 - Q$114)</f>
        <v>0</v>
      </c>
      <c r="R144" s="282">
        <f t="shared" si="94"/>
        <v>0</v>
      </c>
      <c r="S144" s="282">
        <f t="shared" si="94"/>
        <v>0</v>
      </c>
      <c r="T144" s="282">
        <f t="shared" ref="T144:U144" si="95">T39 * (1 - T$114)</f>
        <v>0</v>
      </c>
      <c r="U144" s="282">
        <f t="shared" si="95"/>
        <v>0</v>
      </c>
      <c r="V144" s="282">
        <f t="shared" ref="V144:W144" si="96">V39 * (1 - V$114)</f>
        <v>0</v>
      </c>
      <c r="W144" s="282">
        <f t="shared" si="96"/>
        <v>0</v>
      </c>
      <c r="X144" s="282">
        <f t="shared" ref="X144:Y144" si="97">X39 * (1 - X$114)</f>
        <v>0</v>
      </c>
      <c r="Y144" s="282">
        <f t="shared" si="97"/>
        <v>0</v>
      </c>
      <c r="Z144" s="267"/>
      <c r="AA144" s="267"/>
    </row>
    <row r="145" spans="3:27" x14ac:dyDescent="0.35">
      <c r="F145" t="s">
        <v>194</v>
      </c>
      <c r="G145" t="s">
        <v>269</v>
      </c>
      <c r="H145" s="267"/>
      <c r="I145" s="267"/>
      <c r="J145" s="282">
        <f t="shared" ref="J145:K145" si="98">J40 * (1 - J$115)</f>
        <v>0.63487767006422291</v>
      </c>
      <c r="K145" s="282">
        <f t="shared" si="98"/>
        <v>0.63487767006422291</v>
      </c>
      <c r="L145" s="282">
        <f t="shared" ref="L145:M145" si="99">L40 * (1 - L$115)</f>
        <v>0.72854429434149048</v>
      </c>
      <c r="M145" s="282">
        <f t="shared" si="99"/>
        <v>0.72854429434149048</v>
      </c>
      <c r="N145" s="282">
        <f t="shared" ref="N145:P145" si="100">N40 * (1 - N$115)</f>
        <v>0.61876608517062293</v>
      </c>
      <c r="O145" s="282">
        <f t="shared" si="100"/>
        <v>0.50963648891604507</v>
      </c>
      <c r="P145" s="282">
        <f t="shared" si="100"/>
        <v>0.41861089076252611</v>
      </c>
      <c r="Q145" s="282">
        <f t="shared" ref="Q145:S145" si="101">Q40 * (1 - Q$115)</f>
        <v>0.88183440850538664</v>
      </c>
      <c r="R145" s="282">
        <f t="shared" si="101"/>
        <v>-0.49079953328862996</v>
      </c>
      <c r="S145" s="282">
        <f t="shared" si="101"/>
        <v>-0.47382921275635709</v>
      </c>
      <c r="T145" s="282">
        <f t="shared" ref="T145:U145" si="102">T40 * (1 - T$115)</f>
        <v>-0.49079953328862996</v>
      </c>
      <c r="U145" s="282">
        <f t="shared" si="102"/>
        <v>-0.49079953328862996</v>
      </c>
      <c r="V145" s="282">
        <f t="shared" ref="V145:W145" si="103">V40 * (1 - V$115)</f>
        <v>-0.47382921275635709</v>
      </c>
      <c r="W145" s="282">
        <f t="shared" si="103"/>
        <v>-0.47382921275635709</v>
      </c>
      <c r="X145" s="282">
        <f t="shared" ref="X145:Y145" si="104">X40 * (1 - X$115)</f>
        <v>-0.46311111557807938</v>
      </c>
      <c r="Y145" s="282">
        <f t="shared" si="104"/>
        <v>-0.46311111557807938</v>
      </c>
      <c r="Z145" s="267"/>
      <c r="AA145" s="267"/>
    </row>
    <row r="146" spans="3:27" x14ac:dyDescent="0.35">
      <c r="F146" t="s">
        <v>195</v>
      </c>
      <c r="G146" t="s">
        <v>269</v>
      </c>
      <c r="H146" s="267"/>
      <c r="I146" s="267"/>
      <c r="J146" s="282">
        <f t="shared" ref="J146:K146" si="105">J41 * (1 - J$116)</f>
        <v>0.57443497019628142</v>
      </c>
      <c r="K146" s="282">
        <f t="shared" si="105"/>
        <v>0.57443497019628142</v>
      </c>
      <c r="L146" s="282">
        <f t="shared" ref="L146:M146" si="106">L41 * (1 - L$116)</f>
        <v>0.65918418577296989</v>
      </c>
      <c r="M146" s="282">
        <f t="shared" si="106"/>
        <v>0.65918418577296989</v>
      </c>
      <c r="N146" s="282">
        <f t="shared" ref="N146:P146" si="107">N41 * (1 - N$116)</f>
        <v>0.55985726771190569</v>
      </c>
      <c r="O146" s="282">
        <f t="shared" si="107"/>
        <v>0.46111721222107488</v>
      </c>
      <c r="P146" s="282">
        <f t="shared" si="107"/>
        <v>0</v>
      </c>
      <c r="Q146" s="282">
        <f t="shared" ref="Q146:S146" si="108">Q41 * (1 - Q$116)</f>
        <v>0.79788051470861321</v>
      </c>
      <c r="R146" s="282">
        <f t="shared" si="108"/>
        <v>-0.44407360436615023</v>
      </c>
      <c r="S146" s="282">
        <f t="shared" si="108"/>
        <v>-0.42871892104866727</v>
      </c>
      <c r="T146" s="282">
        <f t="shared" ref="T146:U146" si="109">T41 * (1 - T$116)</f>
        <v>-0.44407360436615023</v>
      </c>
      <c r="U146" s="282">
        <f t="shared" si="109"/>
        <v>-0.44407360436615023</v>
      </c>
      <c r="V146" s="282">
        <f t="shared" ref="V146:W146" si="110">V41 * (1 - V$116)</f>
        <v>-0.42871892104866727</v>
      </c>
      <c r="W146" s="282">
        <f t="shared" si="110"/>
        <v>-0.42871892104866727</v>
      </c>
      <c r="X146" s="282">
        <f t="shared" ref="X146:Y146" si="111">X41 * (1 - X$116)</f>
        <v>-0.41902122632183597</v>
      </c>
      <c r="Y146" s="282">
        <f t="shared" si="111"/>
        <v>-0.41902122632183597</v>
      </c>
      <c r="Z146" s="267"/>
      <c r="AA146" s="267"/>
    </row>
    <row r="147" spans="3:27" x14ac:dyDescent="0.35">
      <c r="F147" t="s">
        <v>196</v>
      </c>
      <c r="G147" t="s">
        <v>269</v>
      </c>
      <c r="H147" s="267"/>
      <c r="I147" s="267"/>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7"/>
      <c r="AA147" s="267"/>
    </row>
    <row r="148" spans="3:27" x14ac:dyDescent="0.35">
      <c r="F148" t="s">
        <v>197</v>
      </c>
      <c r="G148" t="s">
        <v>269</v>
      </c>
      <c r="H148" s="267"/>
      <c r="I148" s="267"/>
      <c r="J148" s="282">
        <f t="shared" ref="J148:K148" si="119">J43 * (1 - J$118)</f>
        <v>2.1039714561367351</v>
      </c>
      <c r="K148" s="282">
        <f t="shared" si="119"/>
        <v>2.1039714561367351</v>
      </c>
      <c r="L148" s="282">
        <f t="shared" ref="L148:M148" si="120">L43 * (1 - L$118)</f>
        <v>2.4143807100204313</v>
      </c>
      <c r="M148" s="282">
        <f t="shared" si="120"/>
        <v>2.4143807100204313</v>
      </c>
      <c r="N148" s="282">
        <f t="shared" ref="N148:P148" si="121">N43 * (1 - N$118)</f>
        <v>1.6404623978572357</v>
      </c>
      <c r="O148" s="282">
        <f t="shared" si="121"/>
        <v>0</v>
      </c>
      <c r="P148" s="282">
        <f t="shared" si="121"/>
        <v>0</v>
      </c>
      <c r="Q148" s="282">
        <f t="shared" ref="Q148:S148" si="122">Q43 * (1 - Q$118)</f>
        <v>2.8804991643716864</v>
      </c>
      <c r="R148" s="282">
        <f t="shared" si="122"/>
        <v>-1.6264994933906718</v>
      </c>
      <c r="S148" s="282">
        <f t="shared" si="122"/>
        <v>-1.5702602024454073</v>
      </c>
      <c r="T148" s="282">
        <f t="shared" ref="T148:U148" si="123">T43 * (1 - T$118)</f>
        <v>-1.6264994933906718</v>
      </c>
      <c r="U148" s="282">
        <f t="shared" si="123"/>
        <v>-1.6264994933906718</v>
      </c>
      <c r="V148" s="282">
        <f t="shared" ref="V148:W148" si="124">V43 * (1 - V$118)</f>
        <v>-1.5702602024454073</v>
      </c>
      <c r="W148" s="282">
        <f t="shared" si="124"/>
        <v>-1.5702602024454073</v>
      </c>
      <c r="X148" s="282">
        <f t="shared" ref="X148:Y148" si="125">X43 * (1 - X$118)</f>
        <v>0</v>
      </c>
      <c r="Y148" s="282">
        <f t="shared" si="125"/>
        <v>0</v>
      </c>
      <c r="Z148" s="267"/>
      <c r="AA148" s="267"/>
    </row>
    <row r="149" spans="3:27" x14ac:dyDescent="0.35">
      <c r="F149" t="s">
        <v>198</v>
      </c>
      <c r="G149" t="s">
        <v>269</v>
      </c>
      <c r="H149" s="267"/>
      <c r="I149" s="267"/>
      <c r="J149" s="282">
        <f t="shared" ref="J149:K149" si="126">J44 * (1 - J$119)</f>
        <v>0.5094799834224627</v>
      </c>
      <c r="K149" s="282">
        <f t="shared" si="126"/>
        <v>0.5094799834224627</v>
      </c>
      <c r="L149" s="282">
        <f t="shared" ref="L149:M149" si="127">L44 * (1 - L$119)</f>
        <v>0.5846460704250076</v>
      </c>
      <c r="M149" s="282">
        <f t="shared" si="127"/>
        <v>0.5846460704250076</v>
      </c>
      <c r="N149" s="282">
        <f t="shared" ref="N149:P149" si="128">N44 * (1 - N$119)</f>
        <v>0</v>
      </c>
      <c r="O149" s="282">
        <f t="shared" si="128"/>
        <v>0</v>
      </c>
      <c r="P149" s="282">
        <f t="shared" si="128"/>
        <v>0</v>
      </c>
      <c r="Q149" s="282">
        <f t="shared" ref="Q149:S149" si="129">Q44 * (1 - Q$119)</f>
        <v>0.6975173841983574</v>
      </c>
      <c r="R149" s="282">
        <f t="shared" si="129"/>
        <v>-0.39385939980901963</v>
      </c>
      <c r="S149" s="282">
        <f t="shared" si="129"/>
        <v>0</v>
      </c>
      <c r="T149" s="282">
        <f t="shared" ref="T149:U149" si="130">T44 * (1 - T$119)</f>
        <v>-0.39385939980901963</v>
      </c>
      <c r="U149" s="282">
        <f t="shared" si="130"/>
        <v>-0.39385939980901963</v>
      </c>
      <c r="V149" s="282">
        <f t="shared" ref="V149:W149" si="131">V44 * (1 - V$119)</f>
        <v>0</v>
      </c>
      <c r="W149" s="282">
        <f t="shared" si="131"/>
        <v>0</v>
      </c>
      <c r="X149" s="282">
        <f t="shared" ref="X149:Y149" si="132">X44 * (1 - X$119)</f>
        <v>0</v>
      </c>
      <c r="Y149" s="282">
        <f t="shared" si="132"/>
        <v>0</v>
      </c>
      <c r="Z149" s="267"/>
      <c r="AA149" s="267"/>
    </row>
    <row r="150" spans="3:27" x14ac:dyDescent="0.35">
      <c r="F150" t="s">
        <v>199</v>
      </c>
      <c r="G150" t="s">
        <v>269</v>
      </c>
      <c r="H150" s="267"/>
      <c r="I150" s="267"/>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1.6557730326175162</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7"/>
      <c r="AA150" s="267"/>
    </row>
    <row r="151" spans="3:27" x14ac:dyDescent="0.35">
      <c r="D151"/>
      <c r="F151" s="23" t="s">
        <v>376</v>
      </c>
      <c r="G151" s="23" t="s">
        <v>269</v>
      </c>
      <c r="H151" s="266"/>
      <c r="I151" s="266" t="s">
        <v>154</v>
      </c>
      <c r="J151" s="280"/>
      <c r="K151" s="280"/>
      <c r="L151" s="280"/>
      <c r="M151" s="280"/>
      <c r="N151" s="280"/>
      <c r="O151" s="280"/>
      <c r="P151" s="280"/>
      <c r="Q151" s="281">
        <f t="shared" ref="Q151" si="140">Q46</f>
        <v>2.564029683035268</v>
      </c>
      <c r="R151" s="280"/>
      <c r="S151" s="280"/>
      <c r="T151" s="280"/>
      <c r="U151" s="280"/>
      <c r="V151" s="280"/>
      <c r="W151" s="280"/>
      <c r="X151" s="280"/>
      <c r="Y151" s="280"/>
      <c r="Z151" s="267"/>
      <c r="AA151" s="267" t="s">
        <v>654</v>
      </c>
    </row>
    <row r="152" spans="3:27" x14ac:dyDescent="0.35">
      <c r="D152"/>
      <c r="F152" s="37" t="s">
        <v>377</v>
      </c>
      <c r="G152" s="37" t="s">
        <v>269</v>
      </c>
      <c r="H152" s="269"/>
      <c r="I152" s="269"/>
      <c r="J152" s="270"/>
      <c r="K152" s="270"/>
      <c r="L152" s="270"/>
      <c r="M152" s="270"/>
      <c r="N152" s="270"/>
      <c r="O152" s="270"/>
      <c r="P152" s="270"/>
      <c r="Q152" s="270"/>
      <c r="R152" s="270"/>
      <c r="S152" s="270"/>
      <c r="T152" s="270"/>
      <c r="U152" s="270"/>
      <c r="V152" s="270"/>
      <c r="W152" s="270"/>
      <c r="X152" s="270"/>
      <c r="Y152" s="270"/>
      <c r="Z152" s="267"/>
      <c r="AA152" s="267"/>
    </row>
    <row r="153" spans="3:27" x14ac:dyDescent="0.35">
      <c r="E153"/>
      <c r="J153" s="89"/>
      <c r="K153" s="89"/>
      <c r="L153" s="89"/>
      <c r="M153" s="89"/>
      <c r="N153" s="89"/>
      <c r="O153" s="89"/>
      <c r="P153" s="89"/>
      <c r="Q153" s="89"/>
      <c r="R153" s="89"/>
      <c r="S153" s="89"/>
      <c r="T153" s="89"/>
      <c r="U153" s="89"/>
      <c r="V153" s="89"/>
      <c r="W153" s="89"/>
      <c r="X153" s="89"/>
      <c r="Y153" s="89"/>
    </row>
    <row r="154" spans="3:27" x14ac:dyDescent="0.3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35">
      <c r="C155" s="32"/>
      <c r="D155" s="32"/>
      <c r="E155"/>
      <c r="I155" t="s">
        <v>154</v>
      </c>
      <c r="J155" s="89"/>
      <c r="K155" s="89"/>
      <c r="L155" s="89"/>
      <c r="M155" s="89"/>
      <c r="N155" s="89"/>
      <c r="O155" s="89"/>
      <c r="P155" s="89"/>
      <c r="Q155" s="89"/>
      <c r="R155" s="89"/>
      <c r="S155" s="89"/>
      <c r="T155" s="89"/>
      <c r="U155" s="89"/>
      <c r="V155" s="89"/>
      <c r="W155" s="89"/>
      <c r="X155" s="89"/>
      <c r="Y155" s="89"/>
      <c r="AA155" t="s">
        <v>656</v>
      </c>
    </row>
    <row r="156" spans="3:27" x14ac:dyDescent="0.35">
      <c r="E156" s="32" t="s">
        <v>621</v>
      </c>
      <c r="J156" s="89"/>
      <c r="K156" s="89"/>
      <c r="L156" s="89"/>
      <c r="M156" s="89"/>
      <c r="N156" s="89"/>
      <c r="O156" s="89"/>
      <c r="P156" s="89"/>
      <c r="Q156" s="89"/>
      <c r="R156" s="89"/>
      <c r="S156" s="89"/>
      <c r="T156" s="89"/>
      <c r="U156" s="89"/>
      <c r="V156" s="89"/>
      <c r="W156" s="89"/>
      <c r="X156" s="89"/>
      <c r="Y156" s="89"/>
    </row>
    <row r="157" spans="3:27" x14ac:dyDescent="0.35">
      <c r="F157" s="23" t="s">
        <v>189</v>
      </c>
      <c r="G157" s="23" t="s">
        <v>269</v>
      </c>
      <c r="H157" s="266"/>
      <c r="I157" s="266"/>
      <c r="J157" s="434">
        <f t="shared" ref="J157:K157" si="141">J52 * (1 - J$112)</f>
        <v>0</v>
      </c>
      <c r="K157" s="434">
        <f t="shared" si="141"/>
        <v>0</v>
      </c>
      <c r="L157" s="434">
        <f t="shared" ref="L157:M157" si="142">L52 * (1 - L$112)</f>
        <v>0</v>
      </c>
      <c r="M157" s="434">
        <f t="shared" si="142"/>
        <v>0</v>
      </c>
      <c r="N157" s="434">
        <f t="shared" ref="N157:P157" si="143">N52 * (1 - N$112)</f>
        <v>0</v>
      </c>
      <c r="O157" s="434">
        <f t="shared" si="143"/>
        <v>0</v>
      </c>
      <c r="P157" s="434">
        <f t="shared" si="143"/>
        <v>0</v>
      </c>
      <c r="Q157" s="434">
        <f t="shared" ref="Q157:S157" si="144">Q52 * (1 - Q$112)</f>
        <v>0</v>
      </c>
      <c r="R157" s="434">
        <f t="shared" si="144"/>
        <v>0</v>
      </c>
      <c r="S157" s="434">
        <f t="shared" si="144"/>
        <v>0</v>
      </c>
      <c r="T157" s="434">
        <f t="shared" ref="T157:U157" si="145">T52 * (1 - T$112)</f>
        <v>0</v>
      </c>
      <c r="U157" s="434">
        <f t="shared" si="145"/>
        <v>0</v>
      </c>
      <c r="V157" s="434">
        <f t="shared" ref="V157:W157" si="146">V52 * (1 - V$112)</f>
        <v>0</v>
      </c>
      <c r="W157" s="434">
        <f t="shared" si="146"/>
        <v>0</v>
      </c>
      <c r="X157" s="434">
        <f t="shared" ref="X157:Y157" si="147">X52 * (1 - X$112)</f>
        <v>0</v>
      </c>
      <c r="Y157" s="434">
        <f t="shared" si="147"/>
        <v>0</v>
      </c>
      <c r="Z157" s="267"/>
      <c r="AA157" s="267"/>
    </row>
    <row r="158" spans="3:27" x14ac:dyDescent="0.35">
      <c r="F158" t="s">
        <v>191</v>
      </c>
      <c r="G158" t="s">
        <v>269</v>
      </c>
      <c r="H158" s="267"/>
      <c r="I158" s="267"/>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7"/>
      <c r="AA158" s="267"/>
    </row>
    <row r="159" spans="3:27" x14ac:dyDescent="0.35">
      <c r="F159" t="s">
        <v>192</v>
      </c>
      <c r="G159" t="s">
        <v>269</v>
      </c>
      <c r="H159" s="267"/>
      <c r="I159" s="267"/>
      <c r="J159" s="282">
        <f t="shared" ref="J159:K159" si="155">J54 * (1 - J$113)</f>
        <v>0</v>
      </c>
      <c r="K159" s="282">
        <f t="shared" si="155"/>
        <v>0</v>
      </c>
      <c r="L159" s="282">
        <f t="shared" ref="L159:M159" si="156">L54 * (1 - L$113)</f>
        <v>0</v>
      </c>
      <c r="M159" s="282">
        <f t="shared" si="156"/>
        <v>0</v>
      </c>
      <c r="N159" s="282">
        <f t="shared" ref="N159:P159" si="157">N54 * (1 - N$113)</f>
        <v>0</v>
      </c>
      <c r="O159" s="282">
        <f t="shared" si="157"/>
        <v>0</v>
      </c>
      <c r="P159" s="282">
        <f t="shared" si="157"/>
        <v>0</v>
      </c>
      <c r="Q159" s="282">
        <f t="shared" ref="Q159:S159" si="158">Q54 * (1 - Q$113)</f>
        <v>0</v>
      </c>
      <c r="R159" s="282">
        <f t="shared" si="158"/>
        <v>0</v>
      </c>
      <c r="S159" s="282">
        <f t="shared" si="158"/>
        <v>0</v>
      </c>
      <c r="T159" s="282">
        <f t="shared" ref="T159:U159" si="159">T54 * (1 - T$113)</f>
        <v>0</v>
      </c>
      <c r="U159" s="282">
        <f t="shared" si="159"/>
        <v>0</v>
      </c>
      <c r="V159" s="282">
        <f t="shared" ref="V159:W159" si="160">V54 * (1 - V$113)</f>
        <v>0</v>
      </c>
      <c r="W159" s="282">
        <f t="shared" si="160"/>
        <v>0</v>
      </c>
      <c r="X159" s="282">
        <f t="shared" ref="X159:Y159" si="161">X54 * (1 - X$113)</f>
        <v>0</v>
      </c>
      <c r="Y159" s="282">
        <f t="shared" si="161"/>
        <v>0</v>
      </c>
      <c r="Z159" s="267"/>
      <c r="AA159" s="267"/>
    </row>
    <row r="160" spans="3:27" x14ac:dyDescent="0.35">
      <c r="F160" t="s">
        <v>193</v>
      </c>
      <c r="G160" t="s">
        <v>269</v>
      </c>
      <c r="H160" s="267"/>
      <c r="I160" s="267"/>
      <c r="J160" s="282">
        <f t="shared" ref="J160:K160" si="162">J55 * (1 - J$114)</f>
        <v>0</v>
      </c>
      <c r="K160" s="282">
        <f t="shared" si="162"/>
        <v>0</v>
      </c>
      <c r="L160" s="282">
        <f t="shared" ref="L160:M160" si="163">L55 * (1 - L$114)</f>
        <v>0</v>
      </c>
      <c r="M160" s="282">
        <f t="shared" si="163"/>
        <v>0</v>
      </c>
      <c r="N160" s="282">
        <f t="shared" ref="N160:P160" si="164">N55 * (1 - N$114)</f>
        <v>0</v>
      </c>
      <c r="O160" s="282">
        <f t="shared" si="164"/>
        <v>0</v>
      </c>
      <c r="P160" s="282">
        <f t="shared" si="164"/>
        <v>0</v>
      </c>
      <c r="Q160" s="282">
        <f t="shared" ref="Q160:S160" si="165">Q55 * (1 - Q$114)</f>
        <v>0</v>
      </c>
      <c r="R160" s="282">
        <f t="shared" si="165"/>
        <v>0</v>
      </c>
      <c r="S160" s="282">
        <f t="shared" si="165"/>
        <v>0</v>
      </c>
      <c r="T160" s="282">
        <f t="shared" ref="T160:U160" si="166">T55 * (1 - T$114)</f>
        <v>0</v>
      </c>
      <c r="U160" s="282">
        <f t="shared" si="166"/>
        <v>0</v>
      </c>
      <c r="V160" s="282">
        <f t="shared" ref="V160:W160" si="167">V55 * (1 - V$114)</f>
        <v>0</v>
      </c>
      <c r="W160" s="282">
        <f t="shared" si="167"/>
        <v>0</v>
      </c>
      <c r="X160" s="282">
        <f t="shared" ref="X160:Y160" si="168">X55 * (1 - X$114)</f>
        <v>0</v>
      </c>
      <c r="Y160" s="282">
        <f t="shared" si="168"/>
        <v>0</v>
      </c>
      <c r="Z160" s="267"/>
      <c r="AA160" s="267"/>
    </row>
    <row r="161" spans="4:27" x14ac:dyDescent="0.35">
      <c r="F161" t="s">
        <v>194</v>
      </c>
      <c r="G161" t="s">
        <v>269</v>
      </c>
      <c r="H161" s="267"/>
      <c r="I161" s="267"/>
      <c r="J161" s="282">
        <f t="shared" ref="J161:K161" si="169">J56 * (1 - J$115)</f>
        <v>0.13922745039619644</v>
      </c>
      <c r="K161" s="282">
        <f t="shared" si="169"/>
        <v>0.13922745039619644</v>
      </c>
      <c r="L161" s="282">
        <f t="shared" ref="L161:M161" si="170">L56 * (1 - L$115)</f>
        <v>0.15976836071679926</v>
      </c>
      <c r="M161" s="282">
        <f t="shared" si="170"/>
        <v>0.15976836071679926</v>
      </c>
      <c r="N161" s="282">
        <f t="shared" ref="N161:P161" si="171">N56 * (1 - N$115)</f>
        <v>0.13569421085675748</v>
      </c>
      <c r="O161" s="282">
        <f t="shared" si="171"/>
        <v>0.11176230056015779</v>
      </c>
      <c r="P161" s="282">
        <f t="shared" si="171"/>
        <v>9.1314191362662014E-2</v>
      </c>
      <c r="Q161" s="282">
        <f t="shared" ref="Q161:S161" si="172">Q56 * (1 - Q$115)</f>
        <v>9.4468507094144769E-2</v>
      </c>
      <c r="R161" s="282">
        <f t="shared" si="172"/>
        <v>-0.10763139246731847</v>
      </c>
      <c r="S161" s="282">
        <f t="shared" si="172"/>
        <v>-0.10390983385607359</v>
      </c>
      <c r="T161" s="282">
        <f t="shared" ref="T161:U161" si="173">T56 * (1 - T$115)</f>
        <v>-0.10763139246731847</v>
      </c>
      <c r="U161" s="282">
        <f t="shared" si="173"/>
        <v>-0.10763139246731847</v>
      </c>
      <c r="V161" s="282">
        <f t="shared" ref="V161:W161" si="174">V56 * (1 - V$115)</f>
        <v>-0.10390983385607359</v>
      </c>
      <c r="W161" s="282">
        <f t="shared" si="174"/>
        <v>-0.10390983385607359</v>
      </c>
      <c r="X161" s="282">
        <f t="shared" ref="X161:Y161" si="175">X56 * (1 - X$115)</f>
        <v>-0.10102130155534475</v>
      </c>
      <c r="Y161" s="282">
        <f t="shared" si="175"/>
        <v>-0.10102130155534475</v>
      </c>
      <c r="Z161" s="267"/>
      <c r="AA161" s="267"/>
    </row>
    <row r="162" spans="4:27" x14ac:dyDescent="0.35">
      <c r="F162" t="s">
        <v>195</v>
      </c>
      <c r="G162" t="s">
        <v>269</v>
      </c>
      <c r="H162" s="267"/>
      <c r="I162" s="267"/>
      <c r="J162" s="282">
        <f t="shared" ref="J162:K162" si="176">J57 * (1 - J$116)</f>
        <v>0.12626055965122468</v>
      </c>
      <c r="K162" s="282">
        <f t="shared" si="176"/>
        <v>0.12626055965122468</v>
      </c>
      <c r="L162" s="282">
        <f t="shared" ref="L162:M162" si="177">L57 * (1 - L$116)</f>
        <v>0.14488840082367044</v>
      </c>
      <c r="M162" s="282">
        <f t="shared" si="177"/>
        <v>0.14488840082367044</v>
      </c>
      <c r="N162" s="282">
        <f t="shared" ref="N162:P162" si="178">N57 * (1 - N$116)</f>
        <v>0.12305638690826398</v>
      </c>
      <c r="O162" s="282">
        <f t="shared" si="178"/>
        <v>0.10135336513365761</v>
      </c>
      <c r="P162" s="282">
        <f t="shared" si="178"/>
        <v>0</v>
      </c>
      <c r="Q162" s="282">
        <f t="shared" ref="Q162:S162" si="179">Q57 * (1 - Q$116)</f>
        <v>8.567022193669542E-2</v>
      </c>
      <c r="R162" s="282">
        <f t="shared" si="179"/>
        <v>-9.7607187449691948E-2</v>
      </c>
      <c r="S162" s="282">
        <f t="shared" si="179"/>
        <v>-9.423223465343325E-2</v>
      </c>
      <c r="T162" s="282">
        <f t="shared" ref="T162:U162" si="180">T57 * (1 - T$116)</f>
        <v>-9.7607187449691948E-2</v>
      </c>
      <c r="U162" s="282">
        <f t="shared" si="180"/>
        <v>-9.7607187449691948E-2</v>
      </c>
      <c r="V162" s="282">
        <f t="shared" ref="V162:W162" si="181">V57 * (1 - V$116)</f>
        <v>-9.423223465343325E-2</v>
      </c>
      <c r="W162" s="282">
        <f t="shared" si="181"/>
        <v>-9.423223465343325E-2</v>
      </c>
      <c r="X162" s="282">
        <f t="shared" ref="X162:Y162" si="182">X57 * (1 - X$116)</f>
        <v>-9.1785768656664046E-2</v>
      </c>
      <c r="Y162" s="282">
        <f t="shared" si="182"/>
        <v>-9.1785768656664046E-2</v>
      </c>
      <c r="Z162" s="267"/>
      <c r="AA162" s="267"/>
    </row>
    <row r="163" spans="4:27" x14ac:dyDescent="0.35">
      <c r="F163" t="s">
        <v>196</v>
      </c>
      <c r="G163" t="s">
        <v>269</v>
      </c>
      <c r="H163" s="267"/>
      <c r="I163" s="267"/>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7"/>
      <c r="AA163" s="267"/>
    </row>
    <row r="164" spans="4:27" x14ac:dyDescent="0.35">
      <c r="F164" t="s">
        <v>197</v>
      </c>
      <c r="G164" t="s">
        <v>269</v>
      </c>
      <c r="H164" s="267"/>
      <c r="I164" s="267"/>
      <c r="J164" s="282">
        <f t="shared" ref="J164:K164" si="190">J59 * (1 - J$118)</f>
        <v>0.3231718514824064</v>
      </c>
      <c r="K164" s="282">
        <f t="shared" si="190"/>
        <v>0.3231718514824064</v>
      </c>
      <c r="L164" s="282">
        <f t="shared" ref="L164:M164" si="191">L59 * (1 - L$118)</f>
        <v>0.3708509837264643</v>
      </c>
      <c r="M164" s="282">
        <f t="shared" si="191"/>
        <v>0.3708509837264643</v>
      </c>
      <c r="N164" s="282">
        <f t="shared" ref="N164:P164" si="192">N59 * (1 - N$118)</f>
        <v>0.25197645569595445</v>
      </c>
      <c r="O164" s="282">
        <f t="shared" si="192"/>
        <v>0</v>
      </c>
      <c r="P164" s="282">
        <f t="shared" si="192"/>
        <v>0</v>
      </c>
      <c r="Q164" s="282">
        <f t="shared" ref="Q164:S164" si="193">Q59 * (1 - Q$118)</f>
        <v>0.21283790556697599</v>
      </c>
      <c r="R164" s="282">
        <f t="shared" si="193"/>
        <v>-0.2498317413865612</v>
      </c>
      <c r="S164" s="282">
        <f t="shared" si="193"/>
        <v>-0.2411933372257884</v>
      </c>
      <c r="T164" s="282">
        <f t="shared" ref="T164:U164" si="194">T59 * (1 - T$118)</f>
        <v>-0.2498317413865612</v>
      </c>
      <c r="U164" s="282">
        <f t="shared" si="194"/>
        <v>-0.2498317413865612</v>
      </c>
      <c r="V164" s="282">
        <f t="shared" ref="V164:W164" si="195">V59 * (1 - V$118)</f>
        <v>-0.2411933372257884</v>
      </c>
      <c r="W164" s="282">
        <f t="shared" si="195"/>
        <v>-0.2411933372257884</v>
      </c>
      <c r="X164" s="282">
        <f t="shared" ref="X164:Y164" si="196">X59 * (1 - X$118)</f>
        <v>0</v>
      </c>
      <c r="Y164" s="282">
        <f t="shared" si="196"/>
        <v>0</v>
      </c>
      <c r="Z164" s="267"/>
      <c r="AA164" s="267"/>
    </row>
    <row r="165" spans="4:27" x14ac:dyDescent="0.35">
      <c r="F165" t="s">
        <v>198</v>
      </c>
      <c r="G165" t="s">
        <v>269</v>
      </c>
      <c r="H165" s="267"/>
      <c r="I165" s="267"/>
      <c r="J165" s="282">
        <f t="shared" ref="J165:K165" si="197">J60 * (1 - J$119)</f>
        <v>2.959812519396765E-2</v>
      </c>
      <c r="K165" s="282">
        <f t="shared" si="197"/>
        <v>2.959812519396765E-2</v>
      </c>
      <c r="L165" s="282">
        <f t="shared" ref="L165:M165" si="198">L60 * (1 - L$119)</f>
        <v>3.3964882134047851E-2</v>
      </c>
      <c r="M165" s="282">
        <f t="shared" si="198"/>
        <v>3.3964882134047851E-2</v>
      </c>
      <c r="N165" s="282">
        <f t="shared" ref="N165:P165" si="199">N60 * (1 - N$119)</f>
        <v>0</v>
      </c>
      <c r="O165" s="282">
        <f t="shared" si="199"/>
        <v>0</v>
      </c>
      <c r="P165" s="282">
        <f t="shared" si="199"/>
        <v>0</v>
      </c>
      <c r="Q165" s="282">
        <f t="shared" ref="Q165:S165" si="200">Q60 * (1 - Q$119)</f>
        <v>1.9493043549729375E-2</v>
      </c>
      <c r="R165" s="282">
        <f t="shared" si="200"/>
        <v>-2.2881173360449529E-2</v>
      </c>
      <c r="S165" s="282">
        <f t="shared" si="200"/>
        <v>0</v>
      </c>
      <c r="T165" s="282">
        <f t="shared" ref="T165:U165" si="201">T60 * (1 - T$119)</f>
        <v>-2.2881173360449529E-2</v>
      </c>
      <c r="U165" s="282">
        <f t="shared" si="201"/>
        <v>-2.2881173360449529E-2</v>
      </c>
      <c r="V165" s="282">
        <f t="shared" ref="V165:W165" si="202">V60 * (1 - V$119)</f>
        <v>0</v>
      </c>
      <c r="W165" s="282">
        <f t="shared" si="202"/>
        <v>0</v>
      </c>
      <c r="X165" s="282">
        <f t="shared" ref="X165:Y165" si="203">X60 * (1 - X$119)</f>
        <v>0</v>
      </c>
      <c r="Y165" s="282">
        <f t="shared" si="203"/>
        <v>0</v>
      </c>
      <c r="Z165" s="267"/>
      <c r="AA165" s="267"/>
    </row>
    <row r="166" spans="4:27" x14ac:dyDescent="0.35">
      <c r="F166" t="s">
        <v>199</v>
      </c>
      <c r="G166" t="s">
        <v>269</v>
      </c>
      <c r="H166" s="267"/>
      <c r="I166" s="267"/>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7.0790680321807043E-3</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7"/>
      <c r="AA166" s="267"/>
    </row>
    <row r="167" spans="4:27" x14ac:dyDescent="0.35">
      <c r="D167"/>
      <c r="F167" s="23" t="s">
        <v>376</v>
      </c>
      <c r="G167" s="23" t="s">
        <v>269</v>
      </c>
      <c r="H167" s="266"/>
      <c r="I167" s="266"/>
      <c r="J167" s="280"/>
      <c r="K167" s="280"/>
      <c r="L167" s="280"/>
      <c r="M167" s="280"/>
      <c r="N167" s="280"/>
      <c r="O167" s="280"/>
      <c r="P167" s="280"/>
      <c r="Q167" s="280"/>
      <c r="R167" s="280"/>
      <c r="S167" s="280"/>
      <c r="T167" s="280"/>
      <c r="U167" s="280"/>
      <c r="V167" s="280"/>
      <c r="W167" s="280"/>
      <c r="X167" s="280"/>
      <c r="Y167" s="280"/>
      <c r="Z167" s="267"/>
      <c r="AA167" s="267"/>
    </row>
    <row r="168" spans="4:27" x14ac:dyDescent="0.35">
      <c r="D168"/>
      <c r="F168" s="37" t="s">
        <v>377</v>
      </c>
      <c r="G168" s="37" t="s">
        <v>269</v>
      </c>
      <c r="H168" s="269"/>
      <c r="I168" s="269"/>
      <c r="J168" s="270"/>
      <c r="K168" s="270"/>
      <c r="L168" s="270"/>
      <c r="M168" s="270"/>
      <c r="N168" s="270"/>
      <c r="O168" s="270"/>
      <c r="P168" s="270"/>
      <c r="Q168" s="270"/>
      <c r="R168" s="270"/>
      <c r="S168" s="270"/>
      <c r="T168" s="270"/>
      <c r="U168" s="270"/>
      <c r="V168" s="270"/>
      <c r="W168" s="270"/>
      <c r="X168" s="270"/>
      <c r="Y168" s="270"/>
      <c r="Z168" s="267"/>
      <c r="AA168" s="267"/>
    </row>
    <row r="169" spans="4:27" x14ac:dyDescent="0.35">
      <c r="D169"/>
      <c r="J169" s="89"/>
      <c r="K169" s="89"/>
      <c r="L169" s="89"/>
      <c r="M169" s="89"/>
      <c r="N169" s="89"/>
      <c r="O169" s="89"/>
      <c r="P169" s="89"/>
      <c r="Q169" s="89"/>
      <c r="R169" s="89"/>
      <c r="S169" s="89"/>
      <c r="T169" s="89"/>
      <c r="U169" s="89"/>
      <c r="V169" s="89"/>
      <c r="W169" s="89"/>
      <c r="X169" s="89"/>
      <c r="Y169" s="89"/>
    </row>
    <row r="170" spans="4:27" x14ac:dyDescent="0.35">
      <c r="E170" s="32" t="s">
        <v>622</v>
      </c>
      <c r="J170" s="89"/>
      <c r="K170" s="89"/>
      <c r="L170" s="89"/>
      <c r="M170" s="89"/>
      <c r="N170" s="89"/>
      <c r="O170" s="89"/>
      <c r="P170" s="89"/>
      <c r="Q170" s="89"/>
      <c r="R170" s="89"/>
      <c r="S170" s="89"/>
      <c r="T170" s="89"/>
      <c r="U170" s="89"/>
      <c r="V170" s="89"/>
      <c r="W170" s="89"/>
      <c r="X170" s="89"/>
      <c r="Y170" s="89"/>
    </row>
    <row r="171" spans="4:27" x14ac:dyDescent="0.35">
      <c r="F171" s="23" t="s">
        <v>189</v>
      </c>
      <c r="G171" s="23" t="s">
        <v>269</v>
      </c>
      <c r="H171" s="266"/>
      <c r="I171" s="266"/>
      <c r="J171" s="434">
        <f t="shared" ref="J171:K171" si="211">J66 * (1 - J$112)</f>
        <v>0.34064433677033723</v>
      </c>
      <c r="K171" s="434">
        <f t="shared" si="211"/>
        <v>0.34064433677033723</v>
      </c>
      <c r="L171" s="434">
        <f t="shared" ref="L171:M171" si="212">L66 * (1 - L$112)</f>
        <v>0.39090127067890973</v>
      </c>
      <c r="M171" s="434">
        <f t="shared" si="212"/>
        <v>0.39090127067890973</v>
      </c>
      <c r="N171" s="434">
        <f t="shared" ref="N171:P171" si="213">N66 * (1 - N$112)</f>
        <v>0.33199964755037426</v>
      </c>
      <c r="O171" s="434">
        <f t="shared" si="213"/>
        <v>0.27344603842061088</v>
      </c>
      <c r="P171" s="434">
        <f t="shared" si="213"/>
        <v>0.2807576876073935</v>
      </c>
      <c r="Q171" s="434">
        <f t="shared" ref="Q171:S171" si="214">Q66 * (1 - Q$112)</f>
        <v>0.23343195232813249</v>
      </c>
      <c r="R171" s="434">
        <f t="shared" si="214"/>
        <v>-0.26333904843020223</v>
      </c>
      <c r="S171" s="434">
        <f t="shared" si="214"/>
        <v>-0.25423360362551822</v>
      </c>
      <c r="T171" s="434">
        <f t="shared" ref="T171:U171" si="215">T66 * (1 - T$112)</f>
        <v>-0.26333904843020223</v>
      </c>
      <c r="U171" s="434">
        <f t="shared" si="215"/>
        <v>-0.26333904843020223</v>
      </c>
      <c r="V171" s="434">
        <f t="shared" ref="V171:W171" si="216">V66 * (1 - V$112)</f>
        <v>-0.25423360362551822</v>
      </c>
      <c r="W171" s="434">
        <f t="shared" si="216"/>
        <v>-0.25423360362551822</v>
      </c>
      <c r="X171" s="434">
        <f t="shared" ref="X171:Y171" si="217">X66 * (1 - X$112)</f>
        <v>-0.2484827963804547</v>
      </c>
      <c r="Y171" s="434">
        <f t="shared" si="217"/>
        <v>-0.2484827963804547</v>
      </c>
      <c r="Z171" s="267"/>
      <c r="AA171" s="267"/>
    </row>
    <row r="172" spans="4:27" x14ac:dyDescent="0.35">
      <c r="F172" t="s">
        <v>191</v>
      </c>
      <c r="G172" t="s">
        <v>269</v>
      </c>
      <c r="H172" s="267"/>
      <c r="I172" s="267"/>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7"/>
      <c r="AA172" s="267"/>
    </row>
    <row r="173" spans="4:27" x14ac:dyDescent="0.35">
      <c r="F173" t="s">
        <v>192</v>
      </c>
      <c r="G173" t="s">
        <v>269</v>
      </c>
      <c r="H173" s="267"/>
      <c r="I173" s="267"/>
      <c r="J173" s="282">
        <f t="shared" ref="J173:K173" si="225">J68 * (1 - J$113)</f>
        <v>0</v>
      </c>
      <c r="K173" s="282">
        <f t="shared" si="225"/>
        <v>0</v>
      </c>
      <c r="L173" s="282">
        <f t="shared" ref="L173:M173" si="226">L68 * (1 - L$113)</f>
        <v>0</v>
      </c>
      <c r="M173" s="282">
        <f t="shared" si="226"/>
        <v>0</v>
      </c>
      <c r="N173" s="282">
        <f t="shared" ref="N173:P173" si="227">N68 * (1 - N$113)</f>
        <v>0</v>
      </c>
      <c r="O173" s="282">
        <f t="shared" si="227"/>
        <v>0</v>
      </c>
      <c r="P173" s="282">
        <f t="shared" si="227"/>
        <v>0</v>
      </c>
      <c r="Q173" s="282">
        <f t="shared" ref="Q173:S173" si="228">Q68 * (1 - Q$113)</f>
        <v>0</v>
      </c>
      <c r="R173" s="282">
        <f t="shared" si="228"/>
        <v>0</v>
      </c>
      <c r="S173" s="282">
        <f t="shared" si="228"/>
        <v>0</v>
      </c>
      <c r="T173" s="282">
        <f t="shared" ref="T173:U173" si="229">T68 * (1 - T$113)</f>
        <v>0</v>
      </c>
      <c r="U173" s="282">
        <f t="shared" si="229"/>
        <v>0</v>
      </c>
      <c r="V173" s="282">
        <f t="shared" ref="V173:W173" si="230">V68 * (1 - V$113)</f>
        <v>0</v>
      </c>
      <c r="W173" s="282">
        <f t="shared" si="230"/>
        <v>0</v>
      </c>
      <c r="X173" s="282">
        <f t="shared" ref="X173:Y173" si="231">X68 * (1 - X$113)</f>
        <v>0</v>
      </c>
      <c r="Y173" s="282">
        <f t="shared" si="231"/>
        <v>0</v>
      </c>
      <c r="Z173" s="267"/>
      <c r="AA173" s="267"/>
    </row>
    <row r="174" spans="4:27" x14ac:dyDescent="0.35">
      <c r="F174" t="s">
        <v>193</v>
      </c>
      <c r="G174" t="s">
        <v>269</v>
      </c>
      <c r="H174" s="267"/>
      <c r="I174" s="267"/>
      <c r="J174" s="282">
        <f t="shared" ref="J174:K174" si="232">J69 * (1 - J$114)</f>
        <v>0</v>
      </c>
      <c r="K174" s="282">
        <f t="shared" si="232"/>
        <v>0</v>
      </c>
      <c r="L174" s="282">
        <f t="shared" ref="L174:M174" si="233">L69 * (1 - L$114)</f>
        <v>0</v>
      </c>
      <c r="M174" s="282">
        <f t="shared" si="233"/>
        <v>0</v>
      </c>
      <c r="N174" s="282">
        <f t="shared" ref="N174:P174" si="234">N69 * (1 - N$114)</f>
        <v>0</v>
      </c>
      <c r="O174" s="282">
        <f t="shared" si="234"/>
        <v>0</v>
      </c>
      <c r="P174" s="282">
        <f t="shared" si="234"/>
        <v>0</v>
      </c>
      <c r="Q174" s="282">
        <f t="shared" ref="Q174:S174" si="235">Q69 * (1 - Q$114)</f>
        <v>0</v>
      </c>
      <c r="R174" s="282">
        <f t="shared" si="235"/>
        <v>0</v>
      </c>
      <c r="S174" s="282">
        <f t="shared" si="235"/>
        <v>0</v>
      </c>
      <c r="T174" s="282">
        <f t="shared" ref="T174:U174" si="236">T69 * (1 - T$114)</f>
        <v>0</v>
      </c>
      <c r="U174" s="282">
        <f t="shared" si="236"/>
        <v>0</v>
      </c>
      <c r="V174" s="282">
        <f t="shared" ref="V174:W174" si="237">V69 * (1 - V$114)</f>
        <v>0</v>
      </c>
      <c r="W174" s="282">
        <f t="shared" si="237"/>
        <v>0</v>
      </c>
      <c r="X174" s="282">
        <f t="shared" ref="X174:Y174" si="238">X69 * (1 - X$114)</f>
        <v>0</v>
      </c>
      <c r="Y174" s="282">
        <f t="shared" si="238"/>
        <v>0</v>
      </c>
      <c r="Z174" s="267"/>
      <c r="AA174" s="267"/>
    </row>
    <row r="175" spans="4:27" x14ac:dyDescent="0.35">
      <c r="F175" t="s">
        <v>194</v>
      </c>
      <c r="G175" t="s">
        <v>269</v>
      </c>
      <c r="H175" s="267"/>
      <c r="I175" s="267"/>
      <c r="J175" s="282">
        <f t="shared" ref="J175:K175" si="239">J70 * (1 - J$115)</f>
        <v>0.12509192695156104</v>
      </c>
      <c r="K175" s="282">
        <f t="shared" si="239"/>
        <v>0.12509192695156104</v>
      </c>
      <c r="L175" s="282">
        <f t="shared" ref="L175:M175" si="240">L70 * (1 - L$115)</f>
        <v>0.14354735399580723</v>
      </c>
      <c r="M175" s="282">
        <f t="shared" si="240"/>
        <v>0.14354735399580723</v>
      </c>
      <c r="N175" s="282">
        <f t="shared" ref="N175:P175" si="241">N70 * (1 - N$115)</f>
        <v>0.12191741114227103</v>
      </c>
      <c r="O175" s="282">
        <f t="shared" si="241"/>
        <v>0.10041526651407821</v>
      </c>
      <c r="P175" s="282">
        <f t="shared" si="241"/>
        <v>8.2480209082005818E-2</v>
      </c>
      <c r="Q175" s="282">
        <f t="shared" ref="Q175:S175" si="242">Q70 * (1 - Q$115)</f>
        <v>8.4877282138081989E-2</v>
      </c>
      <c r="R175" s="282">
        <f t="shared" si="242"/>
        <v>-9.6703762411097155E-2</v>
      </c>
      <c r="S175" s="282">
        <f t="shared" si="242"/>
        <v>-9.3360047241286714E-2</v>
      </c>
      <c r="T175" s="282">
        <f t="shared" ref="T175:U175" si="243">T70 * (1 - T$115)</f>
        <v>-9.6703762411097155E-2</v>
      </c>
      <c r="U175" s="282">
        <f t="shared" si="243"/>
        <v>-9.6703762411097155E-2</v>
      </c>
      <c r="V175" s="282">
        <f t="shared" ref="V175:W175" si="244">V70 * (1 - V$115)</f>
        <v>-9.3360047241286714E-2</v>
      </c>
      <c r="W175" s="282">
        <f t="shared" si="244"/>
        <v>-9.3360047241286714E-2</v>
      </c>
      <c r="X175" s="282">
        <f t="shared" ref="X175:Y175" si="245">X70 * (1 - X$115)</f>
        <v>-9.1248227134038004E-2</v>
      </c>
      <c r="Y175" s="282">
        <f t="shared" si="245"/>
        <v>-9.1248227134038004E-2</v>
      </c>
      <c r="Z175" s="267"/>
      <c r="AA175" s="267"/>
    </row>
    <row r="176" spans="4:27" x14ac:dyDescent="0.35">
      <c r="F176" t="s">
        <v>195</v>
      </c>
      <c r="G176" t="s">
        <v>269</v>
      </c>
      <c r="H176" s="267"/>
      <c r="I176" s="267"/>
      <c r="J176" s="282">
        <f t="shared" ref="J176:K176" si="246">J71 * (1 - J$116)</f>
        <v>0.11318271332955603</v>
      </c>
      <c r="K176" s="282">
        <f t="shared" si="246"/>
        <v>0.11318271332955603</v>
      </c>
      <c r="L176" s="282">
        <f t="shared" ref="L176:M176" si="247">L71 * (1 - L$116)</f>
        <v>0.12988111553206028</v>
      </c>
      <c r="M176" s="282">
        <f t="shared" si="247"/>
        <v>0.12988111553206028</v>
      </c>
      <c r="N176" s="282">
        <f t="shared" ref="N176:P176" si="248">N71 * (1 - N$116)</f>
        <v>0.11031042315417046</v>
      </c>
      <c r="O176" s="282">
        <f t="shared" si="248"/>
        <v>9.0855362138396151E-2</v>
      </c>
      <c r="P176" s="282">
        <f t="shared" si="248"/>
        <v>0</v>
      </c>
      <c r="Q176" s="282">
        <f t="shared" ref="Q176:S176" si="249">Q71 * (1 - Q$116)</f>
        <v>7.679665128307063E-2</v>
      </c>
      <c r="R176" s="282">
        <f t="shared" si="249"/>
        <v>-8.7497206938885658E-2</v>
      </c>
      <c r="S176" s="282">
        <f t="shared" si="249"/>
        <v>-8.447182580724083E-2</v>
      </c>
      <c r="T176" s="282">
        <f t="shared" ref="T176:U176" si="250">T71 * (1 - T$116)</f>
        <v>-8.7497206938885658E-2</v>
      </c>
      <c r="U176" s="282">
        <f t="shared" si="250"/>
        <v>-8.7497206938885658E-2</v>
      </c>
      <c r="V176" s="282">
        <f t="shared" ref="V176:W176" si="251">V71 * (1 - V$116)</f>
        <v>-8.447182580724083E-2</v>
      </c>
      <c r="W176" s="282">
        <f t="shared" si="251"/>
        <v>-8.447182580724083E-2</v>
      </c>
      <c r="X176" s="282">
        <f t="shared" ref="X176:Y176" si="252">X71 * (1 - X$116)</f>
        <v>-8.2561058776728313E-2</v>
      </c>
      <c r="Y176" s="282">
        <f t="shared" si="252"/>
        <v>-8.2561058776728313E-2</v>
      </c>
      <c r="Z176" s="267"/>
      <c r="AA176" s="267"/>
    </row>
    <row r="177" spans="3:27" x14ac:dyDescent="0.35">
      <c r="F177" t="s">
        <v>196</v>
      </c>
      <c r="G177" t="s">
        <v>269</v>
      </c>
      <c r="H177" s="267"/>
      <c r="I177" s="267"/>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7"/>
      <c r="AA177" s="267"/>
    </row>
    <row r="178" spans="3:27" x14ac:dyDescent="0.35">
      <c r="F178" t="s">
        <v>197</v>
      </c>
      <c r="G178" t="s">
        <v>269</v>
      </c>
      <c r="H178" s="267"/>
      <c r="I178" s="267"/>
      <c r="J178" s="282">
        <f t="shared" ref="J178:K178" si="260">J73 * (1 - J$118)</f>
        <v>0.50192168932205206</v>
      </c>
      <c r="K178" s="282">
        <f t="shared" si="260"/>
        <v>0.50192168932205206</v>
      </c>
      <c r="L178" s="282">
        <f t="shared" ref="L178:M178" si="261">L73 * (1 - L$118)</f>
        <v>0.57597266403279312</v>
      </c>
      <c r="M178" s="282">
        <f t="shared" si="261"/>
        <v>0.57597266403279312</v>
      </c>
      <c r="N178" s="282">
        <f t="shared" ref="N178:P178" si="262">N73 * (1 - N$118)</f>
        <v>0.39134735198056658</v>
      </c>
      <c r="O178" s="282">
        <f t="shared" si="262"/>
        <v>0</v>
      </c>
      <c r="P178" s="282">
        <f t="shared" si="262"/>
        <v>0</v>
      </c>
      <c r="Q178" s="282">
        <f t="shared" ref="Q178:S178" si="263">Q73 * (1 - Q$118)</f>
        <v>0.33056084749930564</v>
      </c>
      <c r="R178" s="282">
        <f t="shared" si="263"/>
        <v>-0.38801637304677022</v>
      </c>
      <c r="S178" s="282">
        <f t="shared" si="263"/>
        <v>-0.37459997434269626</v>
      </c>
      <c r="T178" s="282">
        <f t="shared" ref="T178:U178" si="264">T73 * (1 - T$118)</f>
        <v>-0.38801637304677022</v>
      </c>
      <c r="U178" s="282">
        <f t="shared" si="264"/>
        <v>-0.38801637304677022</v>
      </c>
      <c r="V178" s="282">
        <f t="shared" ref="V178:W178" si="265">V73 * (1 - V$118)</f>
        <v>-0.37459997434269626</v>
      </c>
      <c r="W178" s="282">
        <f t="shared" si="265"/>
        <v>-0.37459997434269626</v>
      </c>
      <c r="X178" s="282">
        <f t="shared" ref="X178:Y178" si="266">X73 * (1 - X$118)</f>
        <v>0</v>
      </c>
      <c r="Y178" s="282">
        <f t="shared" si="266"/>
        <v>0</v>
      </c>
      <c r="Z178" s="267"/>
      <c r="AA178" s="267"/>
    </row>
    <row r="179" spans="3:27" x14ac:dyDescent="0.35">
      <c r="F179" t="s">
        <v>198</v>
      </c>
      <c r="G179" t="s">
        <v>269</v>
      </c>
      <c r="H179" s="267"/>
      <c r="I179" s="267"/>
      <c r="J179" s="282">
        <f t="shared" ref="J179:K179" si="267">J74 * (1 - J$119)</f>
        <v>0.12154112319789695</v>
      </c>
      <c r="K179" s="282">
        <f t="shared" si="267"/>
        <v>0.12154112319789695</v>
      </c>
      <c r="L179" s="282">
        <f t="shared" ref="L179:M179" si="268">L74 * (1 - L$119)</f>
        <v>0.13947268270551499</v>
      </c>
      <c r="M179" s="282">
        <f t="shared" si="268"/>
        <v>0.13947268270551499</v>
      </c>
      <c r="N179" s="282">
        <f t="shared" ref="N179:P179" si="269">N74 * (1 - N$119)</f>
        <v>0</v>
      </c>
      <c r="O179" s="282">
        <f t="shared" si="269"/>
        <v>0</v>
      </c>
      <c r="P179" s="282">
        <f t="shared" si="269"/>
        <v>0</v>
      </c>
      <c r="Q179" s="282">
        <f t="shared" ref="Q179:S179" si="270">Q74 * (1 - Q$119)</f>
        <v>8.0045826958745778E-2</v>
      </c>
      <c r="R179" s="282">
        <f t="shared" si="270"/>
        <v>-9.3958772459061896E-2</v>
      </c>
      <c r="S179" s="282">
        <f t="shared" si="270"/>
        <v>0</v>
      </c>
      <c r="T179" s="282">
        <f t="shared" ref="T179:U179" si="271">T74 * (1 - T$119)</f>
        <v>-9.3958772459061896E-2</v>
      </c>
      <c r="U179" s="282">
        <f t="shared" si="271"/>
        <v>-9.3958772459061896E-2</v>
      </c>
      <c r="V179" s="282">
        <f t="shared" ref="V179:W179" si="272">V74 * (1 - V$119)</f>
        <v>0</v>
      </c>
      <c r="W179" s="282">
        <f t="shared" si="272"/>
        <v>0</v>
      </c>
      <c r="X179" s="282">
        <f t="shared" ref="X179:Y179" si="273">X74 * (1 - X$119)</f>
        <v>0</v>
      </c>
      <c r="Y179" s="282">
        <f t="shared" si="273"/>
        <v>0</v>
      </c>
      <c r="Z179" s="267"/>
      <c r="AA179" s="267"/>
    </row>
    <row r="180" spans="3:27" x14ac:dyDescent="0.35">
      <c r="F180" t="s">
        <v>199</v>
      </c>
      <c r="G180" t="s">
        <v>269</v>
      </c>
      <c r="H180" s="267"/>
      <c r="I180" s="267"/>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0.190013503110295</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7"/>
      <c r="AA180" s="267"/>
    </row>
    <row r="181" spans="3:27" x14ac:dyDescent="0.35">
      <c r="F181" s="23" t="s">
        <v>376</v>
      </c>
      <c r="G181" s="23" t="s">
        <v>269</v>
      </c>
      <c r="H181" s="266"/>
      <c r="I181" s="266" t="s">
        <v>154</v>
      </c>
      <c r="J181" s="280"/>
      <c r="K181" s="280"/>
      <c r="L181" s="280"/>
      <c r="M181" s="280"/>
      <c r="N181" s="280"/>
      <c r="O181" s="280"/>
      <c r="P181" s="280"/>
      <c r="Q181" s="281">
        <f>Q76</f>
        <v>2.564029683035268</v>
      </c>
      <c r="R181" s="280"/>
      <c r="S181" s="280"/>
      <c r="T181" s="280"/>
      <c r="U181" s="280"/>
      <c r="V181" s="280"/>
      <c r="W181" s="280"/>
      <c r="X181" s="280"/>
      <c r="Y181" s="280"/>
      <c r="Z181" s="267"/>
      <c r="AA181" s="267" t="s">
        <v>654</v>
      </c>
    </row>
    <row r="182" spans="3:27" x14ac:dyDescent="0.35">
      <c r="F182" s="37" t="s">
        <v>377</v>
      </c>
      <c r="G182" s="37" t="s">
        <v>269</v>
      </c>
      <c r="H182" s="269"/>
      <c r="I182" s="269"/>
      <c r="J182" s="270"/>
      <c r="K182" s="270"/>
      <c r="L182" s="270"/>
      <c r="M182" s="270"/>
      <c r="N182" s="270"/>
      <c r="O182" s="270"/>
      <c r="P182" s="270"/>
      <c r="Q182" s="270"/>
      <c r="R182" s="270"/>
      <c r="S182" s="270"/>
      <c r="T182" s="270"/>
      <c r="U182" s="270"/>
      <c r="V182" s="270"/>
      <c r="W182" s="270"/>
      <c r="X182" s="270"/>
      <c r="Y182" s="270"/>
      <c r="Z182" s="267"/>
      <c r="AA182" s="267"/>
    </row>
    <row r="183" spans="3:27" x14ac:dyDescent="0.35">
      <c r="E183"/>
      <c r="J183" s="89"/>
      <c r="K183" s="89"/>
      <c r="L183" s="89"/>
      <c r="M183" s="89"/>
      <c r="N183" s="89"/>
      <c r="O183" s="89"/>
      <c r="P183" s="89"/>
      <c r="Q183" s="89"/>
      <c r="R183" s="89"/>
      <c r="S183" s="89"/>
      <c r="T183" s="89"/>
      <c r="U183" s="89"/>
      <c r="V183" s="89"/>
      <c r="W183" s="89"/>
      <c r="X183" s="89"/>
      <c r="Y183" s="89"/>
    </row>
    <row r="184" spans="3:27" x14ac:dyDescent="0.3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35">
      <c r="C185" s="32"/>
      <c r="D185" s="32"/>
      <c r="E185"/>
      <c r="I185" t="s">
        <v>154</v>
      </c>
      <c r="J185" s="89"/>
      <c r="K185" s="89"/>
      <c r="L185" s="89"/>
      <c r="M185" s="89"/>
      <c r="N185" s="89"/>
      <c r="O185" s="89"/>
      <c r="P185" s="89"/>
      <c r="Q185" s="89"/>
      <c r="R185" s="89"/>
      <c r="S185" s="89"/>
      <c r="T185" s="89"/>
      <c r="U185" s="89"/>
      <c r="V185" s="89"/>
      <c r="W185" s="89"/>
      <c r="X185" s="89"/>
      <c r="Y185" s="89"/>
      <c r="AA185" t="s">
        <v>656</v>
      </c>
    </row>
    <row r="186" spans="3:27" x14ac:dyDescent="0.35">
      <c r="E186" s="32" t="s">
        <v>621</v>
      </c>
      <c r="J186" s="89"/>
      <c r="K186" s="89"/>
      <c r="L186" s="89"/>
      <c r="M186" s="89"/>
      <c r="N186" s="89"/>
      <c r="O186" s="89"/>
      <c r="P186" s="89"/>
      <c r="Q186" s="89"/>
      <c r="R186" s="89"/>
      <c r="S186" s="89"/>
      <c r="T186" s="89"/>
      <c r="U186" s="89"/>
      <c r="V186" s="89"/>
      <c r="W186" s="89"/>
      <c r="X186" s="89"/>
      <c r="Y186" s="89"/>
    </row>
    <row r="187" spans="3:27" x14ac:dyDescent="0.35">
      <c r="F187" s="23" t="s">
        <v>189</v>
      </c>
      <c r="G187" s="23" t="s">
        <v>269</v>
      </c>
      <c r="H187" s="266"/>
      <c r="I187" s="266"/>
      <c r="J187" s="434">
        <f t="shared" ref="J187:K187" si="281">J82 * (1 - J$112)</f>
        <v>0</v>
      </c>
      <c r="K187" s="434">
        <f t="shared" si="281"/>
        <v>0</v>
      </c>
      <c r="L187" s="434">
        <f t="shared" ref="L187:M187" si="282">L82 * (1 - L$112)</f>
        <v>0</v>
      </c>
      <c r="M187" s="434">
        <f t="shared" si="282"/>
        <v>0</v>
      </c>
      <c r="N187" s="434">
        <f t="shared" ref="N187:P187" si="283">N82 * (1 - N$112)</f>
        <v>0</v>
      </c>
      <c r="O187" s="434">
        <f t="shared" si="283"/>
        <v>0</v>
      </c>
      <c r="P187" s="434">
        <f t="shared" si="283"/>
        <v>0</v>
      </c>
      <c r="Q187" s="434">
        <f t="shared" ref="Q187:S187" si="284">Q82 * (1 - Q$112)</f>
        <v>0</v>
      </c>
      <c r="R187" s="434">
        <f t="shared" si="284"/>
        <v>0</v>
      </c>
      <c r="S187" s="434">
        <f t="shared" si="284"/>
        <v>0</v>
      </c>
      <c r="T187" s="434">
        <f t="shared" ref="T187:U187" si="285">T82 * (1 - T$112)</f>
        <v>0</v>
      </c>
      <c r="U187" s="434">
        <f t="shared" si="285"/>
        <v>0</v>
      </c>
      <c r="V187" s="434">
        <f t="shared" ref="V187:W187" si="286">V82 * (1 - V$112)</f>
        <v>0</v>
      </c>
      <c r="W187" s="434">
        <f t="shared" si="286"/>
        <v>0</v>
      </c>
      <c r="X187" s="434">
        <f t="shared" ref="X187:Y187" si="287">X82 * (1 - X$112)</f>
        <v>0</v>
      </c>
      <c r="Y187" s="434">
        <f t="shared" si="287"/>
        <v>0</v>
      </c>
      <c r="Z187" s="267"/>
      <c r="AA187" s="267"/>
    </row>
    <row r="188" spans="3:27" x14ac:dyDescent="0.35">
      <c r="F188" t="s">
        <v>191</v>
      </c>
      <c r="G188" t="s">
        <v>269</v>
      </c>
      <c r="H188" s="267"/>
      <c r="I188" s="267"/>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7"/>
      <c r="AA188" s="267"/>
    </row>
    <row r="189" spans="3:27" x14ac:dyDescent="0.35">
      <c r="F189" t="s">
        <v>192</v>
      </c>
      <c r="G189" t="s">
        <v>269</v>
      </c>
      <c r="H189" s="267"/>
      <c r="I189" s="267"/>
      <c r="J189" s="282">
        <f t="shared" ref="J189:K189" si="295">J84 * (1 - J$113)</f>
        <v>0</v>
      </c>
      <c r="K189" s="282">
        <f t="shared" si="295"/>
        <v>0</v>
      </c>
      <c r="L189" s="282">
        <f t="shared" ref="L189:M189" si="296">L84 * (1 - L$113)</f>
        <v>0</v>
      </c>
      <c r="M189" s="282">
        <f t="shared" si="296"/>
        <v>0</v>
      </c>
      <c r="N189" s="282">
        <f t="shared" ref="N189:P189" si="297">N84 * (1 - N$113)</f>
        <v>0</v>
      </c>
      <c r="O189" s="282">
        <f t="shared" si="297"/>
        <v>0</v>
      </c>
      <c r="P189" s="282">
        <f t="shared" si="297"/>
        <v>0</v>
      </c>
      <c r="Q189" s="282">
        <f t="shared" ref="Q189:S189" si="298">Q84 * (1 - Q$113)</f>
        <v>0</v>
      </c>
      <c r="R189" s="282">
        <f t="shared" si="298"/>
        <v>0</v>
      </c>
      <c r="S189" s="282">
        <f t="shared" si="298"/>
        <v>0</v>
      </c>
      <c r="T189" s="282">
        <f t="shared" ref="T189:U189" si="299">T84 * (1 - T$113)</f>
        <v>0</v>
      </c>
      <c r="U189" s="282">
        <f t="shared" si="299"/>
        <v>0</v>
      </c>
      <c r="V189" s="282">
        <f t="shared" ref="V189:W189" si="300">V84 * (1 - V$113)</f>
        <v>0</v>
      </c>
      <c r="W189" s="282">
        <f t="shared" si="300"/>
        <v>0</v>
      </c>
      <c r="X189" s="282">
        <f t="shared" ref="X189:Y189" si="301">X84 * (1 - X$113)</f>
        <v>0</v>
      </c>
      <c r="Y189" s="282">
        <f t="shared" si="301"/>
        <v>0</v>
      </c>
      <c r="Z189" s="267"/>
      <c r="AA189" s="267"/>
    </row>
    <row r="190" spans="3:27" x14ac:dyDescent="0.35">
      <c r="F190" t="s">
        <v>193</v>
      </c>
      <c r="G190" t="s">
        <v>269</v>
      </c>
      <c r="H190" s="267"/>
      <c r="I190" s="267"/>
      <c r="J190" s="282">
        <f t="shared" ref="J190:K190" si="302">J85 * (1 - J$114)</f>
        <v>0</v>
      </c>
      <c r="K190" s="282">
        <f t="shared" si="302"/>
        <v>0</v>
      </c>
      <c r="L190" s="282">
        <f t="shared" ref="L190:M190" si="303">L85 * (1 - L$114)</f>
        <v>0</v>
      </c>
      <c r="M190" s="282">
        <f t="shared" si="303"/>
        <v>0</v>
      </c>
      <c r="N190" s="282">
        <f t="shared" ref="N190:P190" si="304">N85 * (1 - N$114)</f>
        <v>0</v>
      </c>
      <c r="O190" s="282">
        <f t="shared" si="304"/>
        <v>0</v>
      </c>
      <c r="P190" s="282">
        <f t="shared" si="304"/>
        <v>0</v>
      </c>
      <c r="Q190" s="282">
        <f t="shared" ref="Q190:S190" si="305">Q85 * (1 - Q$114)</f>
        <v>0</v>
      </c>
      <c r="R190" s="282">
        <f t="shared" si="305"/>
        <v>0</v>
      </c>
      <c r="S190" s="282">
        <f t="shared" si="305"/>
        <v>0</v>
      </c>
      <c r="T190" s="282">
        <f t="shared" ref="T190:U190" si="306">T85 * (1 - T$114)</f>
        <v>0</v>
      </c>
      <c r="U190" s="282">
        <f t="shared" si="306"/>
        <v>0</v>
      </c>
      <c r="V190" s="282">
        <f t="shared" ref="V190:W190" si="307">V85 * (1 - V$114)</f>
        <v>0</v>
      </c>
      <c r="W190" s="282">
        <f t="shared" si="307"/>
        <v>0</v>
      </c>
      <c r="X190" s="282">
        <f t="shared" ref="X190:Y190" si="308">X85 * (1 - X$114)</f>
        <v>0</v>
      </c>
      <c r="Y190" s="282">
        <f t="shared" si="308"/>
        <v>0</v>
      </c>
      <c r="Z190" s="267"/>
      <c r="AA190" s="267"/>
    </row>
    <row r="191" spans="3:27" x14ac:dyDescent="0.35">
      <c r="F191" t="s">
        <v>194</v>
      </c>
      <c r="G191" t="s">
        <v>269</v>
      </c>
      <c r="H191" s="267"/>
      <c r="I191" s="267"/>
      <c r="J191" s="282">
        <f t="shared" ref="J191:K191" si="309">J86 * (1 - J$115)</f>
        <v>4.4131782258333044E-2</v>
      </c>
      <c r="K191" s="282">
        <f t="shared" si="309"/>
        <v>4.4131782258333044E-2</v>
      </c>
      <c r="L191" s="282">
        <f t="shared" ref="L191:M191" si="310">L86 * (1 - L$115)</f>
        <v>5.0642761085260932E-2</v>
      </c>
      <c r="M191" s="282">
        <f t="shared" si="310"/>
        <v>5.0642761085260932E-2</v>
      </c>
      <c r="N191" s="282">
        <f t="shared" ref="N191:P191" si="311">N86 * (1 - N$115)</f>
        <v>4.3011829565258994E-2</v>
      </c>
      <c r="O191" s="282">
        <f t="shared" si="311"/>
        <v>3.5425984595534907E-2</v>
      </c>
      <c r="P191" s="282">
        <f t="shared" si="311"/>
        <v>2.8944421512029986E-2</v>
      </c>
      <c r="Q191" s="282">
        <f t="shared" ref="Q191:S191" si="312">Q86 * (1 - Q$115)</f>
        <v>2.6946876016651473E-2</v>
      </c>
      <c r="R191" s="282">
        <f t="shared" si="312"/>
        <v>-3.4116585220888659E-2</v>
      </c>
      <c r="S191" s="282">
        <f t="shared" si="312"/>
        <v>-3.2936939872031723E-2</v>
      </c>
      <c r="T191" s="282">
        <f t="shared" ref="T191:U191" si="313">T86 * (1 - T$115)</f>
        <v>-3.4116585220888659E-2</v>
      </c>
      <c r="U191" s="282">
        <f t="shared" si="313"/>
        <v>-3.4116585220888659E-2</v>
      </c>
      <c r="V191" s="282">
        <f t="shared" ref="V191:W191" si="314">V86 * (1 - V$115)</f>
        <v>-3.2936939872031723E-2</v>
      </c>
      <c r="W191" s="282">
        <f t="shared" si="314"/>
        <v>-3.2936939872031723E-2</v>
      </c>
      <c r="X191" s="282">
        <f t="shared" ref="X191:Y191" si="315">X86 * (1 - X$115)</f>
        <v>-3.2021344002257687E-2</v>
      </c>
      <c r="Y191" s="282">
        <f t="shared" si="315"/>
        <v>-3.2021344002257687E-2</v>
      </c>
      <c r="Z191" s="267"/>
      <c r="AA191" s="267"/>
    </row>
    <row r="192" spans="3:27" x14ac:dyDescent="0.35">
      <c r="F192" t="s">
        <v>195</v>
      </c>
      <c r="G192" t="s">
        <v>269</v>
      </c>
      <c r="H192" s="267"/>
      <c r="I192" s="267"/>
      <c r="J192" s="282">
        <f t="shared" ref="J192:K192" si="316">J87 * (1 - J$116)</f>
        <v>4.0021587054037876E-2</v>
      </c>
      <c r="K192" s="282">
        <f t="shared" si="316"/>
        <v>4.0021587054037876E-2</v>
      </c>
      <c r="L192" s="282">
        <f t="shared" ref="L192:M192" si="317">L87 * (1 - L$116)</f>
        <v>4.5926168573169446E-2</v>
      </c>
      <c r="M192" s="282">
        <f t="shared" si="317"/>
        <v>4.5926168573169446E-2</v>
      </c>
      <c r="N192" s="282">
        <f t="shared" ref="N192:P192" si="318">N87 * (1 - N$116)</f>
        <v>3.9005940689703616E-2</v>
      </c>
      <c r="O192" s="282">
        <f t="shared" si="318"/>
        <v>3.2126600239388542E-2</v>
      </c>
      <c r="P192" s="282">
        <f t="shared" si="318"/>
        <v>0</v>
      </c>
      <c r="Q192" s="282">
        <f t="shared" ref="Q192:S192" si="319">Q87 * (1 - Q$116)</f>
        <v>2.4437189915010652E-2</v>
      </c>
      <c r="R192" s="282">
        <f t="shared" si="319"/>
        <v>-3.0939151231457011E-2</v>
      </c>
      <c r="S192" s="282">
        <f t="shared" si="319"/>
        <v>-2.9869371662034478E-2</v>
      </c>
      <c r="T192" s="282">
        <f t="shared" ref="T192:U192" si="320">T87 * (1 - T$116)</f>
        <v>-3.0939151231457011E-2</v>
      </c>
      <c r="U192" s="282">
        <f t="shared" si="320"/>
        <v>-3.0939151231457011E-2</v>
      </c>
      <c r="V192" s="282">
        <f t="shared" ref="V192:W192" si="321">V87 * (1 - V$116)</f>
        <v>-2.9869371662034478E-2</v>
      </c>
      <c r="W192" s="282">
        <f t="shared" si="321"/>
        <v>-2.9869371662034478E-2</v>
      </c>
      <c r="X192" s="282">
        <f t="shared" ref="X192:Y192" si="322">X87 * (1 - X$116)</f>
        <v>-2.9093900270691787E-2</v>
      </c>
      <c r="Y192" s="282">
        <f t="shared" si="322"/>
        <v>-2.9093900270691787E-2</v>
      </c>
      <c r="Z192" s="267"/>
      <c r="AA192" s="267"/>
    </row>
    <row r="193" spans="4:27" x14ac:dyDescent="0.35">
      <c r="F193" t="s">
        <v>196</v>
      </c>
      <c r="G193" t="s">
        <v>269</v>
      </c>
      <c r="H193" s="267"/>
      <c r="I193" s="267"/>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7"/>
      <c r="AA193" s="267"/>
    </row>
    <row r="194" spans="4:27" x14ac:dyDescent="0.35">
      <c r="F194" t="s">
        <v>197</v>
      </c>
      <c r="G194" t="s">
        <v>269</v>
      </c>
      <c r="H194" s="267"/>
      <c r="I194" s="267"/>
      <c r="J194" s="282">
        <f t="shared" ref="J194:K194" si="330">J89 * (1 - J$118)</f>
        <v>0.1081804952921947</v>
      </c>
      <c r="K194" s="282">
        <f t="shared" si="330"/>
        <v>0.1081804952921947</v>
      </c>
      <c r="L194" s="282">
        <f t="shared" ref="L194:M194" si="331">L89 * (1 - L$118)</f>
        <v>0.1241408956723777</v>
      </c>
      <c r="M194" s="282">
        <f t="shared" si="331"/>
        <v>0.1241408956723777</v>
      </c>
      <c r="N194" s="282">
        <f t="shared" ref="N194:P194" si="332">N89 * (1 - N$118)</f>
        <v>8.4348118977942893E-2</v>
      </c>
      <c r="O194" s="282">
        <f t="shared" si="332"/>
        <v>0</v>
      </c>
      <c r="P194" s="282">
        <f t="shared" si="332"/>
        <v>0</v>
      </c>
      <c r="Q194" s="282">
        <f t="shared" ref="Q194:S194" si="333">Q89 * (1 - Q$118)</f>
        <v>6.6055034373969326E-2</v>
      </c>
      <c r="R194" s="282">
        <f t="shared" si="333"/>
        <v>-8.3630184370748151E-2</v>
      </c>
      <c r="S194" s="282">
        <f t="shared" si="333"/>
        <v>-8.0738512845644941E-2</v>
      </c>
      <c r="T194" s="282">
        <f t="shared" ref="T194:U194" si="334">T89 * (1 - T$118)</f>
        <v>-8.3630184370748151E-2</v>
      </c>
      <c r="U194" s="282">
        <f t="shared" si="334"/>
        <v>-8.3630184370748151E-2</v>
      </c>
      <c r="V194" s="282">
        <f t="shared" ref="V194:W194" si="335">V89 * (1 - V$118)</f>
        <v>-8.0738512845644941E-2</v>
      </c>
      <c r="W194" s="282">
        <f t="shared" si="335"/>
        <v>-8.0738512845644941E-2</v>
      </c>
      <c r="X194" s="282">
        <f t="shared" ref="X194:Y194" si="336">X89 * (1 - X$118)</f>
        <v>0</v>
      </c>
      <c r="Y194" s="282">
        <f t="shared" si="336"/>
        <v>0</v>
      </c>
      <c r="Z194" s="267"/>
      <c r="AA194" s="267"/>
    </row>
    <row r="195" spans="4:27" x14ac:dyDescent="0.35">
      <c r="F195" t="s">
        <v>198</v>
      </c>
      <c r="G195" t="s">
        <v>269</v>
      </c>
      <c r="H195" s="267"/>
      <c r="I195" s="267"/>
      <c r="J195" s="282">
        <f t="shared" ref="J195:K195" si="337">J90 * (1 - J$119)</f>
        <v>9.9078549957749718E-3</v>
      </c>
      <c r="K195" s="282">
        <f t="shared" si="337"/>
        <v>9.9078549957749718E-3</v>
      </c>
      <c r="L195" s="282">
        <f t="shared" ref="L195:M195" si="338">L90 * (1 - L$119)</f>
        <v>1.1369609558963538E-2</v>
      </c>
      <c r="M195" s="282">
        <f t="shared" si="338"/>
        <v>1.1369609558963538E-2</v>
      </c>
      <c r="N195" s="282">
        <f t="shared" ref="N195:P195" si="339">N90 * (1 - N$119)</f>
        <v>0</v>
      </c>
      <c r="O195" s="282">
        <f t="shared" si="339"/>
        <v>0</v>
      </c>
      <c r="P195" s="282">
        <f t="shared" si="339"/>
        <v>0</v>
      </c>
      <c r="Q195" s="282">
        <f t="shared" ref="Q195:S195" si="340">Q90 * (1 - Q$119)</f>
        <v>6.0497384537805815E-3</v>
      </c>
      <c r="R195" s="282">
        <f t="shared" si="340"/>
        <v>-7.659382015004353E-3</v>
      </c>
      <c r="S195" s="282">
        <f t="shared" si="340"/>
        <v>0</v>
      </c>
      <c r="T195" s="282">
        <f t="shared" ref="T195:U195" si="341">T90 * (1 - T$119)</f>
        <v>-7.659382015004353E-3</v>
      </c>
      <c r="U195" s="282">
        <f t="shared" si="341"/>
        <v>-7.659382015004353E-3</v>
      </c>
      <c r="V195" s="282">
        <f t="shared" ref="V195:W195" si="342">V90 * (1 - V$119)</f>
        <v>0</v>
      </c>
      <c r="W195" s="282">
        <f t="shared" si="342"/>
        <v>0</v>
      </c>
      <c r="X195" s="282">
        <f t="shared" ref="X195:Y195" si="343">X90 * (1 - X$119)</f>
        <v>0</v>
      </c>
      <c r="Y195" s="282">
        <f t="shared" si="343"/>
        <v>0</v>
      </c>
      <c r="Z195" s="267"/>
      <c r="AA195" s="267"/>
    </row>
    <row r="196" spans="4:27" x14ac:dyDescent="0.35">
      <c r="F196" t="s">
        <v>199</v>
      </c>
      <c r="G196" t="s">
        <v>269</v>
      </c>
      <c r="H196" s="267"/>
      <c r="I196" s="267"/>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2.1970150521623908E-3</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7"/>
      <c r="AA196" s="267"/>
    </row>
    <row r="197" spans="4:27" x14ac:dyDescent="0.35">
      <c r="D197"/>
      <c r="F197" s="23" t="s">
        <v>376</v>
      </c>
      <c r="G197" s="23" t="s">
        <v>269</v>
      </c>
      <c r="H197" s="266"/>
      <c r="I197" s="266"/>
      <c r="J197" s="280"/>
      <c r="K197" s="280"/>
      <c r="L197" s="280"/>
      <c r="M197" s="280"/>
      <c r="N197" s="280"/>
      <c r="O197" s="280"/>
      <c r="P197" s="280"/>
      <c r="Q197" s="280"/>
      <c r="R197" s="280"/>
      <c r="S197" s="280"/>
      <c r="T197" s="280"/>
      <c r="U197" s="280"/>
      <c r="V197" s="280"/>
      <c r="W197" s="280"/>
      <c r="X197" s="280"/>
      <c r="Y197" s="280"/>
      <c r="Z197" s="267"/>
      <c r="AA197" s="267"/>
    </row>
    <row r="198" spans="4:27" x14ac:dyDescent="0.35">
      <c r="D198"/>
      <c r="F198" s="37" t="s">
        <v>377</v>
      </c>
      <c r="G198" s="37" t="s">
        <v>269</v>
      </c>
      <c r="H198" s="269"/>
      <c r="I198" s="269"/>
      <c r="J198" s="270"/>
      <c r="K198" s="270"/>
      <c r="L198" s="270"/>
      <c r="M198" s="270"/>
      <c r="N198" s="270"/>
      <c r="O198" s="270"/>
      <c r="P198" s="270"/>
      <c r="Q198" s="270"/>
      <c r="R198" s="270"/>
      <c r="S198" s="270"/>
      <c r="T198" s="270"/>
      <c r="U198" s="270"/>
      <c r="V198" s="270"/>
      <c r="W198" s="270"/>
      <c r="X198" s="270"/>
      <c r="Y198" s="270"/>
      <c r="Z198" s="267"/>
      <c r="AA198" s="267"/>
    </row>
    <row r="199" spans="4:27" x14ac:dyDescent="0.35">
      <c r="D199"/>
      <c r="J199" s="89"/>
      <c r="K199" s="89"/>
      <c r="L199" s="89"/>
      <c r="M199" s="89"/>
      <c r="N199" s="89"/>
      <c r="O199" s="89"/>
      <c r="P199" s="89"/>
      <c r="Q199" s="89"/>
      <c r="R199" s="89"/>
      <c r="S199" s="89"/>
      <c r="T199" s="89"/>
      <c r="U199" s="89"/>
      <c r="V199" s="89"/>
      <c r="W199" s="89"/>
      <c r="X199" s="89"/>
      <c r="Y199" s="89"/>
    </row>
    <row r="200" spans="4:27" x14ac:dyDescent="0.35">
      <c r="E200" s="32" t="s">
        <v>622</v>
      </c>
      <c r="J200" s="89"/>
      <c r="K200" s="89"/>
      <c r="L200" s="89"/>
      <c r="M200" s="89"/>
      <c r="N200" s="89"/>
      <c r="O200" s="89"/>
      <c r="P200" s="89"/>
      <c r="Q200" s="89"/>
      <c r="R200" s="89"/>
      <c r="S200" s="89"/>
      <c r="T200" s="89"/>
      <c r="U200" s="89"/>
      <c r="V200" s="89"/>
      <c r="W200" s="89"/>
      <c r="X200" s="89"/>
      <c r="Y200" s="89"/>
    </row>
    <row r="201" spans="4:27" x14ac:dyDescent="0.35">
      <c r="F201" s="23" t="s">
        <v>189</v>
      </c>
      <c r="G201" s="23" t="s">
        <v>269</v>
      </c>
      <c r="H201" s="266"/>
      <c r="I201" s="266"/>
      <c r="J201" s="434">
        <f t="shared" ref="J201:K201" si="351">J96 * (1 - J$112)</f>
        <v>0.14723595583434593</v>
      </c>
      <c r="K201" s="434">
        <f t="shared" si="351"/>
        <v>0.14723595583434593</v>
      </c>
      <c r="L201" s="434">
        <f t="shared" ref="L201:M201" si="352">L96 * (1 - L$112)</f>
        <v>0.16895840033904078</v>
      </c>
      <c r="M201" s="434">
        <f t="shared" si="352"/>
        <v>0.16895840033904078</v>
      </c>
      <c r="N201" s="434">
        <f t="shared" ref="N201:P201" si="353">N96 * (1 - N$112)</f>
        <v>0.14349948074052912</v>
      </c>
      <c r="O201" s="434">
        <f t="shared" si="353"/>
        <v>0.11819098247072285</v>
      </c>
      <c r="P201" s="434">
        <f t="shared" si="353"/>
        <v>0.12135128058971713</v>
      </c>
      <c r="Q201" s="434">
        <f t="shared" ref="Q201:S201" si="354">Q96 * (1 - Q$112)</f>
        <v>8.9902307226944853E-2</v>
      </c>
      <c r="R201" s="434">
        <f t="shared" si="354"/>
        <v>-0.11382246031663437</v>
      </c>
      <c r="S201" s="434">
        <f t="shared" si="354"/>
        <v>-0.1098868338452676</v>
      </c>
      <c r="T201" s="434">
        <f t="shared" ref="T201:U201" si="355">T96 * (1 - T$112)</f>
        <v>-0.11382246031663437</v>
      </c>
      <c r="U201" s="434">
        <f t="shared" si="355"/>
        <v>-0.11382246031663437</v>
      </c>
      <c r="V201" s="434">
        <f t="shared" ref="V201:W201" si="356">V96 * (1 - V$112)</f>
        <v>-0.1098868338452676</v>
      </c>
      <c r="W201" s="434">
        <f t="shared" si="356"/>
        <v>-0.1098868338452676</v>
      </c>
      <c r="X201" s="434">
        <f t="shared" ref="X201:Y201" si="357">X96 * (1 - X$112)</f>
        <v>-0.10740117502124646</v>
      </c>
      <c r="Y201" s="434">
        <f t="shared" si="357"/>
        <v>-0.10740117502124646</v>
      </c>
      <c r="Z201" s="267"/>
      <c r="AA201" s="267"/>
    </row>
    <row r="202" spans="4:27" x14ac:dyDescent="0.35">
      <c r="F202" t="s">
        <v>191</v>
      </c>
      <c r="G202" t="s">
        <v>269</v>
      </c>
      <c r="H202" s="267"/>
      <c r="I202" s="267"/>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7"/>
      <c r="AA202" s="267"/>
    </row>
    <row r="203" spans="4:27" x14ac:dyDescent="0.35">
      <c r="F203" t="s">
        <v>192</v>
      </c>
      <c r="G203" t="s">
        <v>269</v>
      </c>
      <c r="H203" s="267"/>
      <c r="I203" s="267"/>
      <c r="J203" s="282">
        <f t="shared" ref="J203:K203" si="365">J98 * (1 - J$113)</f>
        <v>0</v>
      </c>
      <c r="K203" s="282">
        <f t="shared" si="365"/>
        <v>0</v>
      </c>
      <c r="L203" s="282">
        <f t="shared" ref="L203:M203" si="366">L98 * (1 - L$113)</f>
        <v>0</v>
      </c>
      <c r="M203" s="282">
        <f t="shared" si="366"/>
        <v>0</v>
      </c>
      <c r="N203" s="282">
        <f t="shared" ref="N203:P203" si="367">N98 * (1 - N$113)</f>
        <v>0</v>
      </c>
      <c r="O203" s="282">
        <f t="shared" si="367"/>
        <v>0</v>
      </c>
      <c r="P203" s="282">
        <f t="shared" si="367"/>
        <v>0</v>
      </c>
      <c r="Q203" s="282">
        <f t="shared" ref="Q203:S203" si="368">Q98 * (1 - Q$113)</f>
        <v>0</v>
      </c>
      <c r="R203" s="282">
        <f t="shared" si="368"/>
        <v>0</v>
      </c>
      <c r="S203" s="282">
        <f t="shared" si="368"/>
        <v>0</v>
      </c>
      <c r="T203" s="282">
        <f t="shared" ref="T203:U203" si="369">T98 * (1 - T$113)</f>
        <v>0</v>
      </c>
      <c r="U203" s="282">
        <f t="shared" si="369"/>
        <v>0</v>
      </c>
      <c r="V203" s="282">
        <f t="shared" ref="V203:W203" si="370">V98 * (1 - V$113)</f>
        <v>0</v>
      </c>
      <c r="W203" s="282">
        <f t="shared" si="370"/>
        <v>0</v>
      </c>
      <c r="X203" s="282">
        <f t="shared" ref="X203:Y203" si="371">X98 * (1 - X$113)</f>
        <v>0</v>
      </c>
      <c r="Y203" s="282">
        <f t="shared" si="371"/>
        <v>0</v>
      </c>
      <c r="Z203" s="267"/>
      <c r="AA203" s="267"/>
    </row>
    <row r="204" spans="4:27" x14ac:dyDescent="0.35">
      <c r="F204" t="s">
        <v>193</v>
      </c>
      <c r="G204" t="s">
        <v>269</v>
      </c>
      <c r="H204" s="267"/>
      <c r="I204" s="267"/>
      <c r="J204" s="282">
        <f t="shared" ref="J204:K204" si="372">J99 * (1 - J$114)</f>
        <v>0</v>
      </c>
      <c r="K204" s="282">
        <f t="shared" si="372"/>
        <v>0</v>
      </c>
      <c r="L204" s="282">
        <f t="shared" ref="L204:M204" si="373">L99 * (1 - L$114)</f>
        <v>0</v>
      </c>
      <c r="M204" s="282">
        <f t="shared" si="373"/>
        <v>0</v>
      </c>
      <c r="N204" s="282">
        <f t="shared" ref="N204:P204" si="374">N99 * (1 - N$114)</f>
        <v>0</v>
      </c>
      <c r="O204" s="282">
        <f t="shared" si="374"/>
        <v>0</v>
      </c>
      <c r="P204" s="282">
        <f t="shared" si="374"/>
        <v>0</v>
      </c>
      <c r="Q204" s="282">
        <f t="shared" ref="Q204:S204" si="375">Q99 * (1 - Q$114)</f>
        <v>0</v>
      </c>
      <c r="R204" s="282">
        <f t="shared" si="375"/>
        <v>0</v>
      </c>
      <c r="S204" s="282">
        <f t="shared" si="375"/>
        <v>0</v>
      </c>
      <c r="T204" s="282">
        <f t="shared" ref="T204:U204" si="376">T99 * (1 - T$114)</f>
        <v>0</v>
      </c>
      <c r="U204" s="282">
        <f t="shared" si="376"/>
        <v>0</v>
      </c>
      <c r="V204" s="282">
        <f t="shared" ref="V204:W204" si="377">V99 * (1 - V$114)</f>
        <v>0</v>
      </c>
      <c r="W204" s="282">
        <f t="shared" si="377"/>
        <v>0</v>
      </c>
      <c r="X204" s="282">
        <f t="shared" ref="X204:Y204" si="378">X99 * (1 - X$114)</f>
        <v>0</v>
      </c>
      <c r="Y204" s="282">
        <f t="shared" si="378"/>
        <v>0</v>
      </c>
      <c r="Z204" s="267"/>
      <c r="AA204" s="267"/>
    </row>
    <row r="205" spans="4:27" x14ac:dyDescent="0.35">
      <c r="F205" t="s">
        <v>194</v>
      </c>
      <c r="G205" t="s">
        <v>269</v>
      </c>
      <c r="H205" s="267"/>
      <c r="I205" s="267"/>
      <c r="J205" s="282">
        <f t="shared" ref="J205:K205" si="379">J100 * (1 - J$115)</f>
        <v>3.9651158351258646E-2</v>
      </c>
      <c r="K205" s="282">
        <f t="shared" si="379"/>
        <v>3.9651158351258646E-2</v>
      </c>
      <c r="L205" s="282">
        <f t="shared" ref="L205:M205" si="380">L100 * (1 - L$115)</f>
        <v>4.5501088702518414E-2</v>
      </c>
      <c r="M205" s="282">
        <f t="shared" si="380"/>
        <v>4.5501088702518414E-2</v>
      </c>
      <c r="N205" s="282">
        <f t="shared" ref="N205:P205" si="381">N100 * (1 - N$115)</f>
        <v>3.8644912527805358E-2</v>
      </c>
      <c r="O205" s="282">
        <f t="shared" si="381"/>
        <v>3.1829245343509109E-2</v>
      </c>
      <c r="P205" s="282">
        <f t="shared" si="381"/>
        <v>2.6144259752445383E-2</v>
      </c>
      <c r="Q205" s="282">
        <f t="shared" ref="Q205:S205" si="382">Q100 * (1 - Q$115)</f>
        <v>2.4211006067089664E-2</v>
      </c>
      <c r="R205" s="282">
        <f t="shared" si="382"/>
        <v>-3.0652787034048144E-2</v>
      </c>
      <c r="S205" s="282">
        <f t="shared" si="382"/>
        <v>-2.9592909047429557E-2</v>
      </c>
      <c r="T205" s="282">
        <f t="shared" ref="T205:U205" si="383">T100 * (1 - T$115)</f>
        <v>-3.0652787034048144E-2</v>
      </c>
      <c r="U205" s="282">
        <f t="shared" si="383"/>
        <v>-3.0652787034048144E-2</v>
      </c>
      <c r="V205" s="282">
        <f t="shared" ref="V205:W205" si="384">V100 * (1 - V$115)</f>
        <v>-2.9592909047429557E-2</v>
      </c>
      <c r="W205" s="282">
        <f t="shared" si="384"/>
        <v>-2.9592909047429557E-2</v>
      </c>
      <c r="X205" s="282">
        <f t="shared" ref="X205:Y205" si="385">X100 * (1 - X$115)</f>
        <v>-2.8923512424302023E-2</v>
      </c>
      <c r="Y205" s="282">
        <f t="shared" si="385"/>
        <v>-2.8923512424302023E-2</v>
      </c>
      <c r="Z205" s="267"/>
      <c r="AA205" s="267"/>
    </row>
    <row r="206" spans="4:27" x14ac:dyDescent="0.35">
      <c r="F206" t="s">
        <v>195</v>
      </c>
      <c r="G206" t="s">
        <v>269</v>
      </c>
      <c r="H206" s="267"/>
      <c r="I206" s="267"/>
      <c r="J206" s="282">
        <f t="shared" ref="J206:K206" si="386">J101 * (1 - J$116)</f>
        <v>3.5876221577377611E-2</v>
      </c>
      <c r="K206" s="282">
        <f t="shared" si="386"/>
        <v>3.5876221577377611E-2</v>
      </c>
      <c r="L206" s="282">
        <f t="shared" ref="L206:M206" si="387">L101 * (1 - L$116)</f>
        <v>4.1169216945503094E-2</v>
      </c>
      <c r="M206" s="282">
        <f t="shared" si="387"/>
        <v>4.1169216945503094E-2</v>
      </c>
      <c r="N206" s="282">
        <f t="shared" ref="N206:P206" si="388">N101 * (1 - N$116)</f>
        <v>3.4965774074086069E-2</v>
      </c>
      <c r="O206" s="282">
        <f t="shared" si="388"/>
        <v>2.87989835875299E-2</v>
      </c>
      <c r="P206" s="282">
        <f t="shared" si="388"/>
        <v>0</v>
      </c>
      <c r="Q206" s="282">
        <f t="shared" ref="Q206:S206" si="389">Q101 * (1 - Q$116)</f>
        <v>2.1906028837277852E-2</v>
      </c>
      <c r="R206" s="282">
        <f t="shared" si="389"/>
        <v>-2.7734528455781435E-2</v>
      </c>
      <c r="S206" s="282">
        <f t="shared" si="389"/>
        <v>-2.6775554769412284E-2</v>
      </c>
      <c r="T206" s="282">
        <f t="shared" ref="T206:U206" si="390">T101 * (1 - T$116)</f>
        <v>-2.7734528455781435E-2</v>
      </c>
      <c r="U206" s="282">
        <f t="shared" si="390"/>
        <v>-2.7734528455781435E-2</v>
      </c>
      <c r="V206" s="282">
        <f t="shared" ref="V206:W206" si="391">V101 * (1 - V$116)</f>
        <v>-2.6775554769412284E-2</v>
      </c>
      <c r="W206" s="282">
        <f t="shared" si="391"/>
        <v>-2.6775554769412284E-2</v>
      </c>
      <c r="X206" s="282">
        <f t="shared" ref="X206:Y206" si="392">X101 * (1 - X$116)</f>
        <v>-2.6169887178021239E-2</v>
      </c>
      <c r="Y206" s="282">
        <f t="shared" si="392"/>
        <v>-2.6169887178021239E-2</v>
      </c>
      <c r="Z206" s="267"/>
      <c r="AA206" s="267"/>
    </row>
    <row r="207" spans="4:27" x14ac:dyDescent="0.35">
      <c r="F207" t="s">
        <v>196</v>
      </c>
      <c r="G207" t="s">
        <v>269</v>
      </c>
      <c r="H207" s="267"/>
      <c r="I207" s="267"/>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7"/>
      <c r="AA207" s="267"/>
    </row>
    <row r="208" spans="4:27" x14ac:dyDescent="0.35">
      <c r="F208" t="s">
        <v>197</v>
      </c>
      <c r="G208" t="s">
        <v>269</v>
      </c>
      <c r="H208" s="267"/>
      <c r="I208" s="267"/>
      <c r="J208" s="282">
        <f t="shared" ref="J208:K208" si="400">J103 * (1 - J$118)</f>
        <v>0.1680162944256631</v>
      </c>
      <c r="K208" s="282">
        <f t="shared" si="400"/>
        <v>0.1680162944256631</v>
      </c>
      <c r="L208" s="282">
        <f t="shared" ref="L208:M208" si="401">L103 * (1 - L$118)</f>
        <v>0.1928045644570148</v>
      </c>
      <c r="M208" s="282">
        <f t="shared" si="401"/>
        <v>0.1928045644570148</v>
      </c>
      <c r="N208" s="282">
        <f t="shared" ref="N208:P208" si="402">N103 * (1 - N$118)</f>
        <v>0.13100197363832392</v>
      </c>
      <c r="O208" s="282">
        <f t="shared" si="402"/>
        <v>0</v>
      </c>
      <c r="P208" s="282">
        <f t="shared" si="402"/>
        <v>0</v>
      </c>
      <c r="Q208" s="282">
        <f t="shared" ref="Q208:S208" si="403">Q103 * (1 - Q$118)</f>
        <v>0.10259078657106943</v>
      </c>
      <c r="R208" s="282">
        <f t="shared" si="403"/>
        <v>-0.12988694165390754</v>
      </c>
      <c r="S208" s="282">
        <f t="shared" si="403"/>
        <v>-0.12539585540927742</v>
      </c>
      <c r="T208" s="282">
        <f t="shared" ref="T208:U208" si="404">T103 * (1 - T$118)</f>
        <v>-0.12988694165390754</v>
      </c>
      <c r="U208" s="282">
        <f t="shared" si="404"/>
        <v>-0.12988694165390754</v>
      </c>
      <c r="V208" s="282">
        <f t="shared" ref="V208:W208" si="405">V103 * (1 - V$118)</f>
        <v>-0.12539585540927742</v>
      </c>
      <c r="W208" s="282">
        <f t="shared" si="405"/>
        <v>-0.12539585540927742</v>
      </c>
      <c r="X208" s="282">
        <f t="shared" ref="X208:Y208" si="406">X103 * (1 - X$118)</f>
        <v>0</v>
      </c>
      <c r="Y208" s="282">
        <f t="shared" si="406"/>
        <v>0</v>
      </c>
      <c r="Z208" s="267"/>
      <c r="AA208" s="267"/>
    </row>
    <row r="209" spans="2:27" x14ac:dyDescent="0.35">
      <c r="F209" t="s">
        <v>198</v>
      </c>
      <c r="G209" t="s">
        <v>269</v>
      </c>
      <c r="H209" s="267"/>
      <c r="I209" s="267"/>
      <c r="J209" s="282">
        <f t="shared" ref="J209:K209" si="407">J104 * (1 - J$119)</f>
        <v>4.0685408848591974E-2</v>
      </c>
      <c r="K209" s="282">
        <f t="shared" si="407"/>
        <v>4.0685408848591974E-2</v>
      </c>
      <c r="L209" s="282">
        <f t="shared" ref="L209:M209" si="408">L104 * (1 - L$119)</f>
        <v>4.6687927261001384E-2</v>
      </c>
      <c r="M209" s="282">
        <f t="shared" si="408"/>
        <v>4.6687927261001384E-2</v>
      </c>
      <c r="N209" s="282">
        <f t="shared" ref="N209:P209" si="409">N104 * (1 - N$119)</f>
        <v>0</v>
      </c>
      <c r="O209" s="282">
        <f t="shared" si="409"/>
        <v>0</v>
      </c>
      <c r="P209" s="282">
        <f t="shared" si="409"/>
        <v>0</v>
      </c>
      <c r="Q209" s="282">
        <f t="shared" ref="Q209:S209" si="410">Q104 * (1 - Q$119)</f>
        <v>2.4842519649719536E-2</v>
      </c>
      <c r="R209" s="282">
        <f t="shared" si="410"/>
        <v>-3.1452326355289953E-2</v>
      </c>
      <c r="S209" s="282">
        <f t="shared" si="410"/>
        <v>0</v>
      </c>
      <c r="T209" s="282">
        <f t="shared" ref="T209:U209" si="411">T104 * (1 - T$119)</f>
        <v>-3.1452326355289953E-2</v>
      </c>
      <c r="U209" s="282">
        <f t="shared" si="411"/>
        <v>-3.1452326355289953E-2</v>
      </c>
      <c r="V209" s="282">
        <f t="shared" ref="V209:W209" si="412">V104 * (1 - V$119)</f>
        <v>0</v>
      </c>
      <c r="W209" s="282">
        <f t="shared" si="412"/>
        <v>0</v>
      </c>
      <c r="X209" s="282">
        <f t="shared" ref="X209:Y209" si="413">X104 * (1 - X$119)</f>
        <v>0</v>
      </c>
      <c r="Y209" s="282">
        <f t="shared" si="413"/>
        <v>0</v>
      </c>
      <c r="Z209" s="267"/>
      <c r="AA209" s="267"/>
    </row>
    <row r="210" spans="2:27" x14ac:dyDescent="0.35">
      <c r="F210" t="s">
        <v>199</v>
      </c>
      <c r="G210" t="s">
        <v>269</v>
      </c>
      <c r="H210" s="267"/>
      <c r="I210" s="267"/>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5.8971396312294547E-2</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7"/>
      <c r="AA210" s="267"/>
    </row>
    <row r="211" spans="2:27" x14ac:dyDescent="0.35">
      <c r="D211"/>
      <c r="F211" s="23" t="s">
        <v>376</v>
      </c>
      <c r="G211" s="23" t="s">
        <v>269</v>
      </c>
      <c r="H211" s="266"/>
      <c r="I211" s="266" t="s">
        <v>154</v>
      </c>
      <c r="J211" s="280"/>
      <c r="K211" s="280"/>
      <c r="L211" s="280"/>
      <c r="M211" s="280"/>
      <c r="N211" s="280"/>
      <c r="O211" s="280"/>
      <c r="P211" s="280"/>
      <c r="Q211" s="281">
        <f>Q106</f>
        <v>2.564029683035268</v>
      </c>
      <c r="R211" s="280"/>
      <c r="S211" s="280"/>
      <c r="T211" s="280"/>
      <c r="U211" s="280"/>
      <c r="V211" s="280"/>
      <c r="W211" s="280"/>
      <c r="X211" s="280"/>
      <c r="Y211" s="280"/>
      <c r="Z211" s="267"/>
      <c r="AA211" s="267" t="s">
        <v>654</v>
      </c>
    </row>
    <row r="212" spans="2:27" x14ac:dyDescent="0.35">
      <c r="D212"/>
      <c r="F212" s="37" t="s">
        <v>377</v>
      </c>
      <c r="G212" s="37" t="s">
        <v>269</v>
      </c>
      <c r="H212" s="269"/>
      <c r="I212" s="269"/>
      <c r="J212" s="270"/>
      <c r="K212" s="270"/>
      <c r="L212" s="270"/>
      <c r="M212" s="270"/>
      <c r="N212" s="270"/>
      <c r="O212" s="270"/>
      <c r="P212" s="270"/>
      <c r="Q212" s="270"/>
      <c r="R212" s="270"/>
      <c r="S212" s="270"/>
      <c r="T212" s="270"/>
      <c r="U212" s="270"/>
      <c r="V212" s="270"/>
      <c r="W212" s="270"/>
      <c r="X212" s="270"/>
      <c r="Y212" s="270"/>
      <c r="Z212" s="267"/>
      <c r="AA212" s="267"/>
    </row>
    <row r="213" spans="2:27" x14ac:dyDescent="0.35">
      <c r="J213" s="89"/>
      <c r="K213" s="89"/>
      <c r="L213" s="89"/>
      <c r="M213" s="89"/>
      <c r="N213" s="89"/>
      <c r="O213" s="89"/>
      <c r="P213" s="89"/>
      <c r="Q213" s="89"/>
      <c r="R213" s="89"/>
      <c r="S213" s="89"/>
      <c r="T213" s="89"/>
      <c r="U213" s="89"/>
      <c r="V213" s="89"/>
      <c r="W213" s="89"/>
      <c r="X213" s="89"/>
      <c r="Y213" s="89"/>
    </row>
    <row r="214" spans="2:27" x14ac:dyDescent="0.3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35">
      <c r="J215" s="89"/>
      <c r="K215" s="89"/>
      <c r="L215" s="89"/>
      <c r="M215" s="89"/>
      <c r="N215" s="89"/>
      <c r="O215" s="89"/>
      <c r="P215" s="89"/>
      <c r="Q215" s="89"/>
      <c r="R215" s="89"/>
      <c r="S215" s="89"/>
      <c r="T215" s="89"/>
      <c r="U215" s="89"/>
      <c r="V215" s="89"/>
      <c r="W215" s="89"/>
      <c r="X215" s="89"/>
      <c r="Y215" s="89"/>
      <c r="AA215" s="3"/>
    </row>
    <row r="216" spans="2:27" x14ac:dyDescent="0.35">
      <c r="D216"/>
      <c r="E216" s="32" t="s">
        <v>657</v>
      </c>
      <c r="F216" s="2"/>
      <c r="J216" s="89"/>
      <c r="K216" s="89"/>
      <c r="L216" s="89"/>
      <c r="M216" s="89"/>
      <c r="N216" s="89"/>
      <c r="O216" s="89"/>
      <c r="P216" s="89"/>
      <c r="Q216" s="89"/>
      <c r="R216" s="89"/>
      <c r="S216" s="89"/>
      <c r="T216" s="89"/>
      <c r="U216" s="89"/>
      <c r="V216" s="89"/>
      <c r="W216" s="89"/>
      <c r="X216" s="89"/>
      <c r="Y216" s="89"/>
      <c r="AA216" s="3"/>
    </row>
    <row r="217" spans="2:27" x14ac:dyDescent="0.35">
      <c r="D217"/>
      <c r="F217" s="23" t="s">
        <v>658</v>
      </c>
      <c r="G217" s="23" t="s">
        <v>269</v>
      </c>
      <c r="H217" s="266"/>
      <c r="I217" s="266"/>
      <c r="J217" s="435">
        <f t="shared" ref="J217:K217" si="421">SUM(J127:J138,J141:J152)</f>
        <v>8.7578868905519336</v>
      </c>
      <c r="K217" s="435">
        <f t="shared" si="421"/>
        <v>8.7578868905519336</v>
      </c>
      <c r="L217" s="435">
        <f t="shared" ref="L217:M217" si="422">SUM(L127:L138,L141:L152)</f>
        <v>10.049981004930144</v>
      </c>
      <c r="M217" s="435">
        <f t="shared" si="422"/>
        <v>10.049981004930144</v>
      </c>
      <c r="N217" s="435">
        <f t="shared" ref="N217:P217" si="423">SUM(N127:N138,N141:N152)</f>
        <v>7.2439851323805975</v>
      </c>
      <c r="O217" s="435">
        <f t="shared" si="423"/>
        <v>3.7452920159350667</v>
      </c>
      <c r="P217" s="435">
        <f t="shared" si="423"/>
        <v>2.6202382291421182</v>
      </c>
      <c r="Q217" s="435">
        <f t="shared" ref="Q217:S217" si="424">SUM(Q127:Q138,Q141:Q152)</f>
        <v>16.503324119079796</v>
      </c>
      <c r="R217" s="435">
        <f t="shared" si="424"/>
        <v>-6.7703858572355928</v>
      </c>
      <c r="S217" s="435">
        <f t="shared" si="424"/>
        <v>-6.0634483873977167</v>
      </c>
      <c r="T217" s="435">
        <f t="shared" ref="T217:U217" si="425">SUM(T127:T138,T141:T152)</f>
        <v>-6.7703858572355928</v>
      </c>
      <c r="U217" s="435">
        <f t="shared" si="425"/>
        <v>-6.7703858572355928</v>
      </c>
      <c r="V217" s="435">
        <f t="shared" ref="V217:W217" si="426">SUM(V127:V138,V141:V152)</f>
        <v>-6.0634483873977167</v>
      </c>
      <c r="W217" s="435">
        <f t="shared" si="426"/>
        <v>-6.0634483873977167</v>
      </c>
      <c r="X217" s="435">
        <f t="shared" ref="X217:Y217" si="427">SUM(X127:X138,X141:X152)</f>
        <v>-3.3990502940098173</v>
      </c>
      <c r="Y217" s="435">
        <f t="shared" si="427"/>
        <v>-3.3990502940098173</v>
      </c>
      <c r="Z217" s="267"/>
      <c r="AA217" s="267"/>
    </row>
    <row r="218" spans="2:27" x14ac:dyDescent="0.35">
      <c r="D218"/>
      <c r="F218" t="s">
        <v>659</v>
      </c>
      <c r="G218" t="s">
        <v>269</v>
      </c>
      <c r="H218" s="267"/>
      <c r="I218" s="267"/>
      <c r="J218" s="435">
        <f t="shared" ref="J218:K218" si="428">SUM(J157:J168,J171:J182)</f>
        <v>1.8206397762951982</v>
      </c>
      <c r="K218" s="435">
        <f t="shared" si="428"/>
        <v>1.8206397762951982</v>
      </c>
      <c r="L218" s="435">
        <f t="shared" ref="L218:M218" si="429">SUM(L157:L168,L171:L182)</f>
        <v>2.089247714346067</v>
      </c>
      <c r="M218" s="435">
        <f t="shared" si="429"/>
        <v>2.089247714346067</v>
      </c>
      <c r="N218" s="435">
        <f t="shared" ref="N218:P218" si="430">SUM(N157:N168,N171:N182)</f>
        <v>1.4663018872883582</v>
      </c>
      <c r="O218" s="435">
        <f t="shared" si="430"/>
        <v>0.67783233276690069</v>
      </c>
      <c r="P218" s="435">
        <f t="shared" si="430"/>
        <v>0.45455208805206132</v>
      </c>
      <c r="Q218" s="435">
        <f t="shared" ref="Q218:S218" si="431">SUM(Q157:Q168,Q171:Q182)</f>
        <v>3.9793044925326262</v>
      </c>
      <c r="R218" s="435">
        <f t="shared" si="431"/>
        <v>-1.4074666579500381</v>
      </c>
      <c r="S218" s="435">
        <f t="shared" si="431"/>
        <v>-1.2460008567520371</v>
      </c>
      <c r="T218" s="435">
        <f t="shared" ref="T218:U218" si="432">SUM(T157:T168,T171:T182)</f>
        <v>-1.4074666579500381</v>
      </c>
      <c r="U218" s="435">
        <f t="shared" si="432"/>
        <v>-1.4074666579500381</v>
      </c>
      <c r="V218" s="435">
        <f t="shared" ref="V218:W218" si="433">SUM(V157:V168,V171:V182)</f>
        <v>-1.2460008567520371</v>
      </c>
      <c r="W218" s="435">
        <f t="shared" si="433"/>
        <v>-1.2460008567520371</v>
      </c>
      <c r="X218" s="435">
        <f t="shared" ref="X218:Y218" si="434">SUM(X157:X168,X171:X182)</f>
        <v>-0.61509915250322988</v>
      </c>
      <c r="Y218" s="435">
        <f t="shared" si="434"/>
        <v>-0.61509915250322988</v>
      </c>
      <c r="Z218" s="267"/>
      <c r="AA218" s="267"/>
    </row>
    <row r="219" spans="2:27" x14ac:dyDescent="0.35">
      <c r="D219"/>
      <c r="F219" s="37" t="s">
        <v>660</v>
      </c>
      <c r="G219" s="37" t="s">
        <v>269</v>
      </c>
      <c r="H219" s="269"/>
      <c r="I219" s="269"/>
      <c r="J219" s="273">
        <f t="shared" ref="J219:K219" si="435">SUM(J187:J198,J201:J212)</f>
        <v>0.63370675863757786</v>
      </c>
      <c r="K219" s="273">
        <f t="shared" si="435"/>
        <v>0.63370675863757786</v>
      </c>
      <c r="L219" s="273">
        <f t="shared" ref="L219:M219" si="436">SUM(L187:L198,L201:L212)</f>
        <v>0.72720063259485002</v>
      </c>
      <c r="M219" s="273">
        <f t="shared" si="436"/>
        <v>0.72720063259485002</v>
      </c>
      <c r="N219" s="273">
        <f t="shared" ref="N219:P219" si="437">SUM(N187:N198,N201:N212)</f>
        <v>0.51447803021364991</v>
      </c>
      <c r="O219" s="273">
        <f t="shared" si="437"/>
        <v>0.24637179623668531</v>
      </c>
      <c r="P219" s="273">
        <f t="shared" si="437"/>
        <v>0.1764399618541925</v>
      </c>
      <c r="Q219" s="273">
        <f t="shared" ref="Q219:S219" si="438">SUM(Q187:Q198,Q201:Q212)</f>
        <v>3.0121395815112382</v>
      </c>
      <c r="R219" s="273">
        <f t="shared" si="438"/>
        <v>-0.48989434665375964</v>
      </c>
      <c r="S219" s="273">
        <f t="shared" si="438"/>
        <v>-0.43519597745109795</v>
      </c>
      <c r="T219" s="273">
        <f t="shared" ref="T219:U219" si="439">SUM(T187:T198,T201:T212)</f>
        <v>-0.48989434665375964</v>
      </c>
      <c r="U219" s="273">
        <f t="shared" si="439"/>
        <v>-0.48989434665375964</v>
      </c>
      <c r="V219" s="273">
        <f t="shared" ref="V219:W219" si="440">SUM(V187:V198,V201:V212)</f>
        <v>-0.43519597745109795</v>
      </c>
      <c r="W219" s="273">
        <f t="shared" si="440"/>
        <v>-0.43519597745109795</v>
      </c>
      <c r="X219" s="273">
        <f t="shared" ref="X219:Y219" si="441">SUM(X187:X198,X201:X212)</f>
        <v>-0.22360981889651921</v>
      </c>
      <c r="Y219" s="273">
        <f t="shared" si="441"/>
        <v>-0.22360981889651921</v>
      </c>
      <c r="Z219" s="267"/>
      <c r="AA219" s="267"/>
    </row>
    <row r="221" spans="2:27" x14ac:dyDescent="0.35">
      <c r="B221" s="30" t="s">
        <v>231</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35">
      <c r="AA222" s="3"/>
    </row>
    <row r="223" spans="2:27" x14ac:dyDescent="0.35">
      <c r="E223" t="s">
        <v>232</v>
      </c>
      <c r="G223" s="6" t="s">
        <v>55</v>
      </c>
      <c r="H223" s="103">
        <f t="array" ref="H223">SUM(IF(ISERROR(H22:Y219), 1))</f>
        <v>0</v>
      </c>
      <c r="AA223" s="3"/>
    </row>
    <row r="225" spans="2:27" x14ac:dyDescent="0.35">
      <c r="B225" s="30" t="s">
        <v>106</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35">
      <c r="AA226" s="3"/>
    </row>
    <row r="228" spans="2:27" x14ac:dyDescent="0.35">
      <c r="AA228" s="3"/>
    </row>
    <row r="229" spans="2:27" x14ac:dyDescent="0.35">
      <c r="J229" s="63"/>
      <c r="L229" s="63"/>
    </row>
    <row r="230" spans="2:27" x14ac:dyDescent="0.35">
      <c r="J230" s="63"/>
      <c r="L230" s="63"/>
    </row>
    <row r="231" spans="2:27" x14ac:dyDescent="0.35">
      <c r="J231" s="63"/>
      <c r="L231" s="63"/>
    </row>
    <row r="232" spans="2:27" x14ac:dyDescent="0.35">
      <c r="J232" s="63"/>
      <c r="L232" s="63"/>
    </row>
    <row r="233" spans="2:27" x14ac:dyDescent="0.35">
      <c r="J233" s="63"/>
      <c r="L233" s="63"/>
    </row>
    <row r="234" spans="2:27" x14ac:dyDescent="0.35">
      <c r="J234" s="63"/>
      <c r="L234" s="63"/>
    </row>
    <row r="235" spans="2:27" x14ac:dyDescent="0.35">
      <c r="J235" s="63"/>
      <c r="L235" s="63"/>
    </row>
    <row r="236" spans="2:27" x14ac:dyDescent="0.35">
      <c r="J236" s="63"/>
      <c r="L236" s="63"/>
    </row>
    <row r="237" spans="2:27" x14ac:dyDescent="0.35">
      <c r="J237" s="63"/>
      <c r="L237" s="63"/>
    </row>
    <row r="238" spans="2:27" x14ac:dyDescent="0.35">
      <c r="J238" s="63"/>
      <c r="L238" s="63"/>
    </row>
    <row r="239" spans="2:27" x14ac:dyDescent="0.35">
      <c r="J239" s="63"/>
      <c r="L239" s="63"/>
    </row>
    <row r="240" spans="2:27" x14ac:dyDescent="0.35">
      <c r="J240" s="63"/>
      <c r="L240" s="63"/>
    </row>
    <row r="241" spans="10:12" x14ac:dyDescent="0.35">
      <c r="J241" s="63"/>
      <c r="L241" s="63"/>
    </row>
    <row r="242" spans="10:12" x14ac:dyDescent="0.35">
      <c r="J242" s="63"/>
      <c r="L242" s="63"/>
    </row>
    <row r="243" spans="10:12" x14ac:dyDescent="0.35">
      <c r="J243" s="63"/>
      <c r="L243" s="63"/>
    </row>
    <row r="244" spans="10:12" x14ac:dyDescent="0.35">
      <c r="J244" s="63"/>
      <c r="L244" s="63"/>
    </row>
    <row r="245" spans="10:12" x14ac:dyDescent="0.35">
      <c r="J245" s="63"/>
      <c r="L245" s="63"/>
    </row>
    <row r="246" spans="10:12" x14ac:dyDescent="0.35">
      <c r="J246" s="63"/>
      <c r="L246" s="63"/>
    </row>
    <row r="247" spans="10:12" x14ac:dyDescent="0.35">
      <c r="J247" s="63"/>
      <c r="L247" s="63"/>
    </row>
    <row r="248" spans="10:12" x14ac:dyDescent="0.35">
      <c r="J248" s="63"/>
      <c r="L248" s="63"/>
    </row>
    <row r="249" spans="10:12" x14ac:dyDescent="0.35">
      <c r="J249" s="63"/>
      <c r="L249" s="63"/>
    </row>
    <row r="250" spans="10:12" x14ac:dyDescent="0.35">
      <c r="J250" s="63"/>
      <c r="L250" s="63"/>
    </row>
    <row r="251" spans="10:12" x14ac:dyDescent="0.35">
      <c r="J251" s="63"/>
      <c r="L251" s="63"/>
    </row>
    <row r="252" spans="10:12" x14ac:dyDescent="0.35">
      <c r="J252" s="63"/>
      <c r="L252" s="63"/>
    </row>
    <row r="253" spans="10:12" x14ac:dyDescent="0.35">
      <c r="J253" s="63"/>
      <c r="L253" s="63"/>
    </row>
    <row r="254" spans="10:12" x14ac:dyDescent="0.35">
      <c r="J254" s="63"/>
      <c r="L254" s="63"/>
    </row>
    <row r="255" spans="10:12" x14ac:dyDescent="0.35">
      <c r="J255" s="63"/>
      <c r="L255" s="63"/>
    </row>
    <row r="256" spans="10:12" x14ac:dyDescent="0.35">
      <c r="J256" s="63"/>
      <c r="L256" s="63"/>
    </row>
    <row r="257" spans="10:12" x14ac:dyDescent="0.35">
      <c r="J257" s="63"/>
      <c r="L257" s="63"/>
    </row>
    <row r="258" spans="10:12" x14ac:dyDescent="0.35">
      <c r="J258" s="63"/>
      <c r="L258" s="63"/>
    </row>
    <row r="259" spans="10:12" x14ac:dyDescent="0.35">
      <c r="J259" s="63"/>
      <c r="L259" s="63"/>
    </row>
    <row r="260" spans="10:12" x14ac:dyDescent="0.35">
      <c r="J260" s="63"/>
      <c r="L260" s="63"/>
    </row>
    <row r="261" spans="10:12" x14ac:dyDescent="0.35">
      <c r="J261" s="63"/>
      <c r="L261" s="63"/>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Capacity charges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H295 &amp; IF(H295 = 1, " issue", " issues") &amp;" identified in checks on this sheet"</f>
        <v>0 issues identified in checks on this sheet</v>
      </c>
      <c r="B4" s="13"/>
      <c r="C4" s="13"/>
      <c r="D4" s="13"/>
      <c r="E4" s="13"/>
      <c r="F4" s="13"/>
      <c r="G4" s="13"/>
      <c r="H4" s="14"/>
      <c r="I4" s="14"/>
      <c r="AA4" s="15"/>
    </row>
    <row r="5" spans="1:27" ht="43.5" x14ac:dyDescent="0.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5">
      <c r="D9" s="29" t="s">
        <v>685</v>
      </c>
      <c r="E9"/>
    </row>
    <row r="10" spans="1:27" x14ac:dyDescent="0.35">
      <c r="D10" s="29" t="s">
        <v>686</v>
      </c>
      <c r="E10"/>
    </row>
    <row r="11" spans="1:27" x14ac:dyDescent="0.35">
      <c r="D11" s="29" t="s">
        <v>687</v>
      </c>
      <c r="E11"/>
    </row>
    <row r="12" spans="1:27" x14ac:dyDescent="0.35">
      <c r="D12" s="29" t="s">
        <v>688</v>
      </c>
      <c r="E12"/>
    </row>
    <row r="13" spans="1:27" x14ac:dyDescent="0.35">
      <c r="D13" s="29" t="s">
        <v>689</v>
      </c>
      <c r="E13"/>
    </row>
    <row r="14" spans="1:27" x14ac:dyDescent="0.35">
      <c r="D14" s="29" t="s">
        <v>690</v>
      </c>
      <c r="E14"/>
    </row>
    <row r="15" spans="1:27" x14ac:dyDescent="0.35">
      <c r="D15" s="29" t="s">
        <v>691</v>
      </c>
    </row>
    <row r="17" spans="2:27" x14ac:dyDescent="0.35">
      <c r="B17" s="30" t="s">
        <v>692</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35">
      <c r="D18"/>
      <c r="E18"/>
    </row>
    <row r="19" spans="2:27" x14ac:dyDescent="0.35">
      <c r="C19" s="31" t="str">
        <f ca="1">INDEX('Version control'!$H$34:$H$57,MATCH($A$1,'Version control'!$F$34:$F$57,0),1)&amp;"-A: Inputs to capacity charge calculations"</f>
        <v>Section 112-A: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35">
      <c r="E21" s="32" t="s">
        <v>693</v>
      </c>
      <c r="F21" s="2"/>
    </row>
    <row r="22" spans="2:27" x14ac:dyDescent="0.35">
      <c r="D22"/>
      <c r="E22" s="29" t="s">
        <v>694</v>
      </c>
      <c r="F22" s="2"/>
    </row>
    <row r="23" spans="2:27" x14ac:dyDescent="0.35">
      <c r="C23" s="88"/>
      <c r="F23" s="108" t="s">
        <v>189</v>
      </c>
      <c r="G23" s="108" t="s">
        <v>167</v>
      </c>
      <c r="H23" s="207">
        <f>'System peak demand'!H226</f>
        <v>6.800000000000006E-2</v>
      </c>
    </row>
    <row r="24" spans="2:27" x14ac:dyDescent="0.35">
      <c r="C24" s="88"/>
      <c r="F24" t="s">
        <v>191</v>
      </c>
      <c r="G24" t="s">
        <v>167</v>
      </c>
      <c r="H24" s="25">
        <f>'System peak demand'!H226</f>
        <v>6.800000000000006E-2</v>
      </c>
    </row>
    <row r="25" spans="2:27" x14ac:dyDescent="0.35">
      <c r="C25" s="88"/>
      <c r="F25" t="s">
        <v>192</v>
      </c>
      <c r="G25" t="s">
        <v>167</v>
      </c>
      <c r="H25" s="25">
        <f>'System peak demand'!H227</f>
        <v>6.800000000000006E-2</v>
      </c>
    </row>
    <row r="26" spans="2:27" x14ac:dyDescent="0.35">
      <c r="C26" s="88"/>
      <c r="F26" t="s">
        <v>193</v>
      </c>
      <c r="G26" t="s">
        <v>167</v>
      </c>
      <c r="H26" s="25">
        <f>'System peak demand'!H228</f>
        <v>6.800000000000006E-2</v>
      </c>
    </row>
    <row r="27" spans="2:27" x14ac:dyDescent="0.35">
      <c r="C27" s="88"/>
      <c r="F27" t="s">
        <v>194</v>
      </c>
      <c r="G27" t="s">
        <v>167</v>
      </c>
      <c r="H27" s="25">
        <f>'System peak demand'!H229</f>
        <v>0.14810000000000012</v>
      </c>
    </row>
    <row r="28" spans="2:27" x14ac:dyDescent="0.35">
      <c r="C28" s="88"/>
      <c r="F28" t="s">
        <v>195</v>
      </c>
      <c r="G28" t="s">
        <v>167</v>
      </c>
      <c r="H28" s="25">
        <f>'System peak demand'!H230</f>
        <v>0.14810000000000012</v>
      </c>
    </row>
    <row r="29" spans="2:27" x14ac:dyDescent="0.35">
      <c r="C29" s="88"/>
      <c r="F29" t="s">
        <v>196</v>
      </c>
      <c r="G29" t="s">
        <v>167</v>
      </c>
      <c r="H29" s="25">
        <f>'System peak demand'!H231</f>
        <v>6.800000000000006E-2</v>
      </c>
    </row>
    <row r="30" spans="2:27" x14ac:dyDescent="0.35">
      <c r="C30" s="88"/>
      <c r="F30" t="s">
        <v>197</v>
      </c>
      <c r="G30" t="s">
        <v>167</v>
      </c>
      <c r="H30" s="25">
        <f>'System peak demand'!H232</f>
        <v>0.84958910000000021</v>
      </c>
    </row>
    <row r="31" spans="2:27" x14ac:dyDescent="0.35">
      <c r="C31" s="88"/>
      <c r="F31" t="s">
        <v>198</v>
      </c>
      <c r="G31" t="s">
        <v>167</v>
      </c>
      <c r="H31" s="25">
        <f>'System peak demand'!H233</f>
        <v>0.84958910000000021</v>
      </c>
    </row>
    <row r="32" spans="2:27" x14ac:dyDescent="0.35">
      <c r="C32" s="88"/>
      <c r="F32" t="s">
        <v>199</v>
      </c>
      <c r="G32" t="s">
        <v>167</v>
      </c>
      <c r="H32" s="25">
        <f>'System peak demand'!H234</f>
        <v>0.98636347028761806</v>
      </c>
    </row>
    <row r="33" spans="3:8" x14ac:dyDescent="0.35">
      <c r="C33" s="88"/>
      <c r="F33" t="s">
        <v>376</v>
      </c>
      <c r="G33" t="s">
        <v>167</v>
      </c>
      <c r="H33" s="66"/>
    </row>
    <row r="34" spans="3:8" x14ac:dyDescent="0.35">
      <c r="C34" s="88"/>
      <c r="F34" s="37" t="s">
        <v>377</v>
      </c>
      <c r="G34" s="37" t="s">
        <v>167</v>
      </c>
      <c r="H34" s="68"/>
    </row>
    <row r="35" spans="3:8" x14ac:dyDescent="0.35">
      <c r="C35" s="88"/>
      <c r="F35" s="2"/>
    </row>
    <row r="36" spans="3:8" x14ac:dyDescent="0.35">
      <c r="E36" s="88" t="s">
        <v>394</v>
      </c>
      <c r="F36" s="2"/>
    </row>
    <row r="37" spans="3:8" x14ac:dyDescent="0.35">
      <c r="C37" s="88"/>
      <c r="F37" s="23" t="s">
        <v>189</v>
      </c>
      <c r="G37" s="64" t="s">
        <v>283</v>
      </c>
      <c r="H37" s="124">
        <f t="array" ref="H37:H46">TRANSPOSE('Load &amp; loss characteristics'!J29:S29)</f>
        <v>1</v>
      </c>
    </row>
    <row r="38" spans="3:8" x14ac:dyDescent="0.35">
      <c r="C38" s="88"/>
      <c r="F38" t="s">
        <v>191</v>
      </c>
      <c r="G38" s="28" t="s">
        <v>283</v>
      </c>
      <c r="H38" s="120">
        <v>1</v>
      </c>
    </row>
    <row r="39" spans="3:8" x14ac:dyDescent="0.35">
      <c r="C39" s="88"/>
      <c r="F39" t="s">
        <v>192</v>
      </c>
      <c r="G39" s="28" t="s">
        <v>283</v>
      </c>
      <c r="H39" s="120">
        <v>1</v>
      </c>
    </row>
    <row r="40" spans="3:8" x14ac:dyDescent="0.35">
      <c r="C40" s="88"/>
      <c r="F40" t="s">
        <v>193</v>
      </c>
      <c r="G40" s="28" t="s">
        <v>283</v>
      </c>
      <c r="H40" s="120">
        <v>1</v>
      </c>
    </row>
    <row r="41" spans="3:8" x14ac:dyDescent="0.35">
      <c r="C41" s="88"/>
      <c r="F41" t="s">
        <v>194</v>
      </c>
      <c r="G41" s="28" t="s">
        <v>283</v>
      </c>
      <c r="H41" s="120">
        <v>1.0149999999999999</v>
      </c>
    </row>
    <row r="42" spans="3:8" x14ac:dyDescent="0.35">
      <c r="C42" s="88"/>
      <c r="F42" t="s">
        <v>195</v>
      </c>
      <c r="G42" s="28" t="s">
        <v>283</v>
      </c>
      <c r="H42" s="120">
        <v>1.028</v>
      </c>
    </row>
    <row r="43" spans="3:8" x14ac:dyDescent="0.35">
      <c r="C43" s="88"/>
      <c r="F43" t="s">
        <v>196</v>
      </c>
      <c r="G43" s="28" t="s">
        <v>283</v>
      </c>
      <c r="H43" s="120">
        <v>1.028</v>
      </c>
    </row>
    <row r="44" spans="3:8" x14ac:dyDescent="0.35">
      <c r="C44" s="88"/>
      <c r="F44" t="s">
        <v>197</v>
      </c>
      <c r="G44" s="28" t="s">
        <v>283</v>
      </c>
      <c r="H44" s="120">
        <v>1.0369999999999999</v>
      </c>
    </row>
    <row r="45" spans="3:8" x14ac:dyDescent="0.35">
      <c r="C45" s="88"/>
      <c r="F45" t="s">
        <v>198</v>
      </c>
      <c r="G45" s="28" t="s">
        <v>283</v>
      </c>
      <c r="H45" s="120">
        <v>1.0609999999999999</v>
      </c>
    </row>
    <row r="46" spans="3:8" x14ac:dyDescent="0.35">
      <c r="C46" s="88"/>
      <c r="F46" t="s">
        <v>199</v>
      </c>
      <c r="G46" s="28" t="s">
        <v>283</v>
      </c>
      <c r="H46" s="120">
        <v>1.099</v>
      </c>
    </row>
    <row r="47" spans="3:8" x14ac:dyDescent="0.35">
      <c r="C47" s="88"/>
      <c r="F47" t="s">
        <v>376</v>
      </c>
      <c r="G47" s="28" t="s">
        <v>283</v>
      </c>
      <c r="H47" s="79"/>
    </row>
    <row r="48" spans="3:8" x14ac:dyDescent="0.35">
      <c r="C48" s="88"/>
      <c r="F48" s="37" t="s">
        <v>377</v>
      </c>
      <c r="G48" s="67" t="s">
        <v>283</v>
      </c>
      <c r="H48" s="81"/>
    </row>
    <row r="49" spans="3:8" x14ac:dyDescent="0.35">
      <c r="C49" s="88"/>
      <c r="F49" s="2"/>
      <c r="H49" s="89"/>
    </row>
    <row r="50" spans="3:8" x14ac:dyDescent="0.35">
      <c r="C50" s="88"/>
      <c r="E50" s="88" t="s">
        <v>584</v>
      </c>
      <c r="H50" s="89"/>
    </row>
    <row r="51" spans="3:8" x14ac:dyDescent="0.35">
      <c r="C51" s="88"/>
      <c r="E51" s="29"/>
      <c r="F51" s="23" t="s">
        <v>189</v>
      </c>
      <c r="G51" s="23" t="s">
        <v>585</v>
      </c>
      <c r="H51" s="83"/>
    </row>
    <row r="52" spans="3:8" x14ac:dyDescent="0.35">
      <c r="C52" s="88"/>
      <c r="E52" s="29"/>
      <c r="F52" t="s">
        <v>191</v>
      </c>
      <c r="G52" t="s">
        <v>585</v>
      </c>
      <c r="H52" s="79"/>
    </row>
    <row r="53" spans="3:8" x14ac:dyDescent="0.35">
      <c r="C53" s="88"/>
      <c r="E53" s="29"/>
      <c r="F53" t="s">
        <v>192</v>
      </c>
      <c r="G53" t="s">
        <v>585</v>
      </c>
      <c r="H53" s="120">
        <f t="array" ref="H53:H60">TRANSPOSE('Unit costs'!L114:S114)</f>
        <v>0</v>
      </c>
    </row>
    <row r="54" spans="3:8" x14ac:dyDescent="0.35">
      <c r="C54" s="88"/>
      <c r="E54" s="29"/>
      <c r="F54" t="s">
        <v>193</v>
      </c>
      <c r="G54" t="s">
        <v>585</v>
      </c>
      <c r="H54" s="120">
        <v>0</v>
      </c>
    </row>
    <row r="55" spans="3:8" x14ac:dyDescent="0.35">
      <c r="C55" s="88"/>
      <c r="E55" s="29"/>
      <c r="F55" t="s">
        <v>194</v>
      </c>
      <c r="G55" t="s">
        <v>585</v>
      </c>
      <c r="H55" s="120">
        <v>9.0360862056750033</v>
      </c>
    </row>
    <row r="56" spans="3:8" x14ac:dyDescent="0.35">
      <c r="C56" s="88"/>
      <c r="E56" s="29"/>
      <c r="F56" t="s">
        <v>195</v>
      </c>
      <c r="G56" t="s">
        <v>585</v>
      </c>
      <c r="H56" s="120">
        <v>8.2805323161648161</v>
      </c>
    </row>
    <row r="57" spans="3:8" x14ac:dyDescent="0.35">
      <c r="C57" s="88"/>
      <c r="E57" s="29"/>
      <c r="F57" t="s">
        <v>196</v>
      </c>
      <c r="G57" t="s">
        <v>585</v>
      </c>
      <c r="H57" s="120">
        <v>0</v>
      </c>
    </row>
    <row r="58" spans="3:8" x14ac:dyDescent="0.35">
      <c r="C58" s="88"/>
      <c r="E58" s="29"/>
      <c r="F58" t="s">
        <v>197</v>
      </c>
      <c r="G58" t="s">
        <v>585</v>
      </c>
      <c r="H58" s="120">
        <v>34.516832923530124</v>
      </c>
    </row>
    <row r="59" spans="3:8" x14ac:dyDescent="0.35">
      <c r="C59" s="88"/>
      <c r="E59" s="29"/>
      <c r="F59" t="s">
        <v>198</v>
      </c>
      <c r="G59" t="s">
        <v>585</v>
      </c>
      <c r="H59" s="120">
        <v>8.5517471247672674</v>
      </c>
    </row>
    <row r="60" spans="3:8" x14ac:dyDescent="0.35">
      <c r="C60" s="88"/>
      <c r="E60" s="29"/>
      <c r="F60" t="s">
        <v>199</v>
      </c>
      <c r="G60" t="s">
        <v>585</v>
      </c>
      <c r="H60" s="120">
        <v>21.027271770308033</v>
      </c>
    </row>
    <row r="61" spans="3:8" x14ac:dyDescent="0.35">
      <c r="C61" s="88"/>
      <c r="E61" s="29"/>
      <c r="F61" t="s">
        <v>376</v>
      </c>
      <c r="G61" t="s">
        <v>585</v>
      </c>
      <c r="H61" s="79"/>
    </row>
    <row r="62" spans="3:8" x14ac:dyDescent="0.35">
      <c r="C62" s="88"/>
      <c r="E62" s="29"/>
      <c r="F62" s="37" t="s">
        <v>377</v>
      </c>
      <c r="G62" s="37" t="s">
        <v>585</v>
      </c>
      <c r="H62" s="81"/>
    </row>
    <row r="63" spans="3:8" x14ac:dyDescent="0.35">
      <c r="C63" s="88"/>
      <c r="D63"/>
      <c r="E63" s="29"/>
      <c r="H63" s="89"/>
    </row>
    <row r="64" spans="3:8" x14ac:dyDescent="0.35">
      <c r="C64" s="88"/>
      <c r="E64" s="88" t="s">
        <v>603</v>
      </c>
      <c r="H64" s="89"/>
    </row>
    <row r="65" spans="3:25" x14ac:dyDescent="0.35">
      <c r="C65" s="88"/>
      <c r="F65" s="23" t="s">
        <v>189</v>
      </c>
      <c r="G65" s="23" t="s">
        <v>585</v>
      </c>
      <c r="H65" s="124">
        <f t="array" ref="H65:H74">TRANSPOSE('Unit costs'!J115:S115)</f>
        <v>24.91020871756313</v>
      </c>
    </row>
    <row r="66" spans="3:25" x14ac:dyDescent="0.35">
      <c r="C66" s="88"/>
      <c r="F66" t="s">
        <v>191</v>
      </c>
      <c r="G66" t="s">
        <v>585</v>
      </c>
      <c r="H66" s="120">
        <v>0</v>
      </c>
    </row>
    <row r="67" spans="3:25" x14ac:dyDescent="0.35">
      <c r="C67" s="88"/>
      <c r="F67" t="s">
        <v>192</v>
      </c>
      <c r="G67" t="s">
        <v>585</v>
      </c>
      <c r="H67" s="120">
        <v>0</v>
      </c>
    </row>
    <row r="68" spans="3:25" x14ac:dyDescent="0.35">
      <c r="C68" s="88"/>
      <c r="F68" t="s">
        <v>193</v>
      </c>
      <c r="G68" t="s">
        <v>585</v>
      </c>
      <c r="H68" s="120">
        <v>0</v>
      </c>
    </row>
    <row r="69" spans="3:25" x14ac:dyDescent="0.35">
      <c r="C69" s="88"/>
      <c r="F69" t="s">
        <v>194</v>
      </c>
      <c r="G69" t="s">
        <v>585</v>
      </c>
      <c r="H69" s="120">
        <v>8.0664338465438021</v>
      </c>
    </row>
    <row r="70" spans="3:25" x14ac:dyDescent="0.35">
      <c r="C70" s="88"/>
      <c r="F70" t="s">
        <v>195</v>
      </c>
      <c r="G70" t="s">
        <v>585</v>
      </c>
      <c r="H70" s="120">
        <v>7.3919576044507211</v>
      </c>
    </row>
    <row r="71" spans="3:25" x14ac:dyDescent="0.35">
      <c r="C71" s="88"/>
      <c r="F71" t="s">
        <v>196</v>
      </c>
      <c r="G71" t="s">
        <v>585</v>
      </c>
      <c r="H71" s="120">
        <v>0</v>
      </c>
    </row>
    <row r="72" spans="3:25" x14ac:dyDescent="0.35">
      <c r="C72" s="88"/>
      <c r="F72" t="s">
        <v>197</v>
      </c>
      <c r="G72" t="s">
        <v>585</v>
      </c>
      <c r="H72" s="120">
        <v>30.812869978486663</v>
      </c>
    </row>
    <row r="73" spans="3:25" x14ac:dyDescent="0.35">
      <c r="C73" s="88"/>
      <c r="F73" t="s">
        <v>198</v>
      </c>
      <c r="G73" t="s">
        <v>585</v>
      </c>
      <c r="H73" s="120">
        <v>7.6340686536371187</v>
      </c>
    </row>
    <row r="74" spans="3:25" x14ac:dyDescent="0.35">
      <c r="C74" s="88"/>
      <c r="F74" t="s">
        <v>199</v>
      </c>
      <c r="G74" t="s">
        <v>585</v>
      </c>
      <c r="H74" s="120">
        <v>18.770858627041765</v>
      </c>
    </row>
    <row r="75" spans="3:25" x14ac:dyDescent="0.35">
      <c r="C75" s="88"/>
      <c r="F75" t="s">
        <v>376</v>
      </c>
      <c r="G75" t="s">
        <v>585</v>
      </c>
      <c r="H75" s="79"/>
    </row>
    <row r="76" spans="3:25" x14ac:dyDescent="0.35">
      <c r="C76" s="88"/>
      <c r="F76" s="37" t="s">
        <v>377</v>
      </c>
      <c r="G76" s="37" t="s">
        <v>585</v>
      </c>
      <c r="H76" s="81"/>
    </row>
    <row r="77" spans="3:25" x14ac:dyDescent="0.35">
      <c r="C77" s="88"/>
      <c r="F77" s="2"/>
    </row>
    <row r="78" spans="3:25" x14ac:dyDescent="0.35">
      <c r="E78" s="32" t="s">
        <v>408</v>
      </c>
      <c r="F78" s="2"/>
    </row>
    <row r="79" spans="3:25" x14ac:dyDescent="0.35">
      <c r="E79" s="29" t="s">
        <v>401</v>
      </c>
    </row>
    <row r="80" spans="3:25" x14ac:dyDescent="0.35">
      <c r="C80" s="88"/>
      <c r="F80" s="23" t="s">
        <v>189</v>
      </c>
      <c r="G80" s="64" t="s">
        <v>283</v>
      </c>
      <c r="H80" s="208"/>
      <c r="I80" s="208"/>
      <c r="J80" s="124">
        <f t="array" ref="J80:Y89">TRANSPOSE('Load &amp; loss characteristics'!J145:S160)</f>
        <v>1.099</v>
      </c>
      <c r="K80" s="124">
        <v>1.099</v>
      </c>
      <c r="L80" s="124">
        <v>1.099</v>
      </c>
      <c r="M80" s="124">
        <v>1.099</v>
      </c>
      <c r="N80" s="124">
        <v>1.099</v>
      </c>
      <c r="O80" s="124">
        <v>1.0609999999999999</v>
      </c>
      <c r="P80" s="124">
        <v>1.0369999999999999</v>
      </c>
      <c r="Q80" s="124">
        <v>1.099</v>
      </c>
      <c r="R80" s="124">
        <v>-1.099</v>
      </c>
      <c r="S80" s="124">
        <v>-1.0609999999999999</v>
      </c>
      <c r="T80" s="124">
        <v>-1.099</v>
      </c>
      <c r="U80" s="124">
        <v>-1.099</v>
      </c>
      <c r="V80" s="124">
        <v>-1.0609999999999999</v>
      </c>
      <c r="W80" s="124">
        <v>-1.0609999999999999</v>
      </c>
      <c r="X80" s="124">
        <v>-1.0369999999999999</v>
      </c>
      <c r="Y80" s="124">
        <v>-1.0369999999999999</v>
      </c>
    </row>
    <row r="81" spans="3:42" x14ac:dyDescent="0.35">
      <c r="C81" s="88"/>
      <c r="F81" t="s">
        <v>191</v>
      </c>
      <c r="G81" s="28" t="s">
        <v>283</v>
      </c>
      <c r="H81" s="209"/>
      <c r="I81" s="209"/>
      <c r="J81" s="120">
        <v>1.099</v>
      </c>
      <c r="K81" s="120">
        <v>1.099</v>
      </c>
      <c r="L81" s="120">
        <v>1.099</v>
      </c>
      <c r="M81" s="120">
        <v>1.099</v>
      </c>
      <c r="N81" s="120">
        <v>1.099</v>
      </c>
      <c r="O81" s="120">
        <v>1.0609999999999999</v>
      </c>
      <c r="P81" s="120">
        <v>1.0369999999999999</v>
      </c>
      <c r="Q81" s="120">
        <v>1.099</v>
      </c>
      <c r="R81" s="120">
        <v>-1.099</v>
      </c>
      <c r="S81" s="120">
        <v>-1.0609999999999999</v>
      </c>
      <c r="T81" s="120">
        <v>-1.099</v>
      </c>
      <c r="U81" s="120">
        <v>-1.099</v>
      </c>
      <c r="V81" s="120">
        <v>-1.0609999999999999</v>
      </c>
      <c r="W81" s="120">
        <v>-1.0609999999999999</v>
      </c>
      <c r="X81" s="120">
        <v>-1.0369999999999999</v>
      </c>
      <c r="Y81" s="120">
        <v>-1.0369999999999999</v>
      </c>
    </row>
    <row r="82" spans="3:42" x14ac:dyDescent="0.35">
      <c r="C82" s="88"/>
      <c r="F82" t="s">
        <v>192</v>
      </c>
      <c r="G82" s="28" t="s">
        <v>283</v>
      </c>
      <c r="H82" s="209"/>
      <c r="I82" s="209"/>
      <c r="J82" s="120">
        <v>1.099</v>
      </c>
      <c r="K82" s="120">
        <v>1.099</v>
      </c>
      <c r="L82" s="120">
        <v>1.099</v>
      </c>
      <c r="M82" s="120">
        <v>1.099</v>
      </c>
      <c r="N82" s="120">
        <v>1.099</v>
      </c>
      <c r="O82" s="120">
        <v>1.0609999999999999</v>
      </c>
      <c r="P82" s="120">
        <v>1.0369999999999999</v>
      </c>
      <c r="Q82" s="120">
        <v>1.099</v>
      </c>
      <c r="R82" s="120">
        <v>-1.099</v>
      </c>
      <c r="S82" s="120">
        <v>-1.0609999999999999</v>
      </c>
      <c r="T82" s="120">
        <v>-1.099</v>
      </c>
      <c r="U82" s="120">
        <v>-1.099</v>
      </c>
      <c r="V82" s="120">
        <v>-1.0609999999999999</v>
      </c>
      <c r="W82" s="120">
        <v>-1.0609999999999999</v>
      </c>
      <c r="X82" s="120">
        <v>-1.0369999999999999</v>
      </c>
      <c r="Y82" s="120">
        <v>-1.0369999999999999</v>
      </c>
    </row>
    <row r="83" spans="3:42" x14ac:dyDescent="0.35">
      <c r="C83" s="88"/>
      <c r="F83" t="s">
        <v>193</v>
      </c>
      <c r="G83" s="28" t="s">
        <v>283</v>
      </c>
      <c r="H83" s="209"/>
      <c r="I83" s="209"/>
      <c r="J83" s="120">
        <v>1.099</v>
      </c>
      <c r="K83" s="120">
        <v>1.099</v>
      </c>
      <c r="L83" s="120">
        <v>1.099</v>
      </c>
      <c r="M83" s="120">
        <v>1.099</v>
      </c>
      <c r="N83" s="120">
        <v>1.099</v>
      </c>
      <c r="O83" s="120">
        <v>1.0609999999999999</v>
      </c>
      <c r="P83" s="120">
        <v>1.0369999999999999</v>
      </c>
      <c r="Q83" s="120">
        <v>1.099</v>
      </c>
      <c r="R83" s="120">
        <v>-1.099</v>
      </c>
      <c r="S83" s="120">
        <v>-1.0609999999999999</v>
      </c>
      <c r="T83" s="120">
        <v>-1.099</v>
      </c>
      <c r="U83" s="120">
        <v>-1.099</v>
      </c>
      <c r="V83" s="120">
        <v>-1.0609999999999999</v>
      </c>
      <c r="W83" s="120">
        <v>-1.0609999999999999</v>
      </c>
      <c r="X83" s="120">
        <v>-1.0369999999999999</v>
      </c>
      <c r="Y83" s="120">
        <v>-1.0369999999999999</v>
      </c>
    </row>
    <row r="84" spans="3:42" x14ac:dyDescent="0.35">
      <c r="C84" s="88"/>
      <c r="F84" t="s">
        <v>194</v>
      </c>
      <c r="G84" s="28" t="s">
        <v>283</v>
      </c>
      <c r="H84" s="209"/>
      <c r="I84" s="209"/>
      <c r="J84" s="120">
        <v>1.099</v>
      </c>
      <c r="K84" s="120">
        <v>1.099</v>
      </c>
      <c r="L84" s="120">
        <v>1.099</v>
      </c>
      <c r="M84" s="120">
        <v>1.099</v>
      </c>
      <c r="N84" s="120">
        <v>1.099</v>
      </c>
      <c r="O84" s="120">
        <v>1.0609999999999999</v>
      </c>
      <c r="P84" s="120">
        <v>1.0369999999999999</v>
      </c>
      <c r="Q84" s="120">
        <v>1.099</v>
      </c>
      <c r="R84" s="120">
        <v>-1.099</v>
      </c>
      <c r="S84" s="120">
        <v>-1.0609999999999999</v>
      </c>
      <c r="T84" s="120">
        <v>-1.099</v>
      </c>
      <c r="U84" s="120">
        <v>-1.099</v>
      </c>
      <c r="V84" s="120">
        <v>-1.0609999999999999</v>
      </c>
      <c r="W84" s="120">
        <v>-1.0609999999999999</v>
      </c>
      <c r="X84" s="120">
        <v>-1.0369999999999999</v>
      </c>
      <c r="Y84" s="120">
        <v>-1.0369999999999999</v>
      </c>
    </row>
    <row r="85" spans="3:42" x14ac:dyDescent="0.35">
      <c r="C85" s="88"/>
      <c r="F85" t="s">
        <v>195</v>
      </c>
      <c r="G85" s="28" t="s">
        <v>283</v>
      </c>
      <c r="H85" s="209"/>
      <c r="I85" s="209"/>
      <c r="J85" s="120">
        <v>1.099</v>
      </c>
      <c r="K85" s="120">
        <v>1.099</v>
      </c>
      <c r="L85" s="120">
        <v>1.099</v>
      </c>
      <c r="M85" s="120">
        <v>1.099</v>
      </c>
      <c r="N85" s="120">
        <v>1.099</v>
      </c>
      <c r="O85" s="120">
        <v>1.0609999999999999</v>
      </c>
      <c r="P85" s="120">
        <v>1.0369999999999999</v>
      </c>
      <c r="Q85" s="120">
        <v>1.099</v>
      </c>
      <c r="R85" s="120">
        <v>-1.099</v>
      </c>
      <c r="S85" s="120">
        <v>-1.0609999999999999</v>
      </c>
      <c r="T85" s="120">
        <v>-1.099</v>
      </c>
      <c r="U85" s="120">
        <v>-1.099</v>
      </c>
      <c r="V85" s="120">
        <v>-1.0609999999999999</v>
      </c>
      <c r="W85" s="120">
        <v>-1.0609999999999999</v>
      </c>
      <c r="X85" s="120">
        <v>-1.0369999999999999</v>
      </c>
      <c r="Y85" s="120">
        <v>-1.0369999999999999</v>
      </c>
    </row>
    <row r="86" spans="3:42" x14ac:dyDescent="0.35">
      <c r="C86" s="88"/>
      <c r="F86" t="s">
        <v>196</v>
      </c>
      <c r="G86" s="28" t="s">
        <v>283</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35">
      <c r="C87" s="88"/>
      <c r="F87" t="s">
        <v>197</v>
      </c>
      <c r="G87" s="28" t="s">
        <v>283</v>
      </c>
      <c r="H87" s="209"/>
      <c r="I87" s="209"/>
      <c r="J87" s="120">
        <v>1.099</v>
      </c>
      <c r="K87" s="120">
        <v>1.099</v>
      </c>
      <c r="L87" s="120">
        <v>1.099</v>
      </c>
      <c r="M87" s="120">
        <v>1.099</v>
      </c>
      <c r="N87" s="120">
        <v>1.099</v>
      </c>
      <c r="O87" s="120">
        <v>1.0609999999999999</v>
      </c>
      <c r="P87" s="120">
        <v>1.0369999999999999</v>
      </c>
      <c r="Q87" s="120">
        <v>1.099</v>
      </c>
      <c r="R87" s="120">
        <v>-1.099</v>
      </c>
      <c r="S87" s="120">
        <v>-1.0609999999999999</v>
      </c>
      <c r="T87" s="120">
        <v>-1.099</v>
      </c>
      <c r="U87" s="120">
        <v>-1.099</v>
      </c>
      <c r="V87" s="120">
        <v>-1.0609999999999999</v>
      </c>
      <c r="W87" s="120">
        <v>-1.0609999999999999</v>
      </c>
      <c r="X87" s="120">
        <v>0</v>
      </c>
      <c r="Y87" s="120">
        <v>0</v>
      </c>
    </row>
    <row r="88" spans="3:42" x14ac:dyDescent="0.35">
      <c r="C88" s="88"/>
      <c r="F88" t="s">
        <v>198</v>
      </c>
      <c r="G88" s="28" t="s">
        <v>283</v>
      </c>
      <c r="H88" s="209"/>
      <c r="I88" s="209"/>
      <c r="J88" s="120">
        <v>1.099</v>
      </c>
      <c r="K88" s="120">
        <v>1.099</v>
      </c>
      <c r="L88" s="120">
        <v>1.099</v>
      </c>
      <c r="M88" s="120">
        <v>1.099</v>
      </c>
      <c r="N88" s="120">
        <v>1.099</v>
      </c>
      <c r="O88" s="120">
        <v>1.0609999999999999</v>
      </c>
      <c r="P88" s="120">
        <v>0</v>
      </c>
      <c r="Q88" s="120">
        <v>1.099</v>
      </c>
      <c r="R88" s="120">
        <v>-1.099</v>
      </c>
      <c r="S88" s="120">
        <v>0</v>
      </c>
      <c r="T88" s="120">
        <v>-1.099</v>
      </c>
      <c r="U88" s="120">
        <v>-1.099</v>
      </c>
      <c r="V88" s="120">
        <v>0</v>
      </c>
      <c r="W88" s="120">
        <v>0</v>
      </c>
      <c r="X88" s="120">
        <v>0</v>
      </c>
      <c r="Y88" s="120">
        <v>0</v>
      </c>
    </row>
    <row r="89" spans="3:42" x14ac:dyDescent="0.35">
      <c r="C89" s="88"/>
      <c r="F89" t="s">
        <v>199</v>
      </c>
      <c r="G89" s="28" t="s">
        <v>283</v>
      </c>
      <c r="H89" s="209"/>
      <c r="I89" s="209"/>
      <c r="J89" s="120">
        <v>1.099</v>
      </c>
      <c r="K89" s="120">
        <v>1.099</v>
      </c>
      <c r="L89" s="120">
        <v>1.099</v>
      </c>
      <c r="M89" s="120">
        <v>1.099</v>
      </c>
      <c r="N89" s="120">
        <v>1.099</v>
      </c>
      <c r="O89" s="120">
        <v>0</v>
      </c>
      <c r="P89" s="120">
        <v>0</v>
      </c>
      <c r="Q89" s="120">
        <v>1.099</v>
      </c>
      <c r="R89" s="120">
        <v>0</v>
      </c>
      <c r="S89" s="120">
        <v>0</v>
      </c>
      <c r="T89" s="120">
        <v>0</v>
      </c>
      <c r="U89" s="120">
        <v>0</v>
      </c>
      <c r="V89" s="120">
        <v>0</v>
      </c>
      <c r="W89" s="120">
        <v>0</v>
      </c>
      <c r="X89" s="120">
        <v>0</v>
      </c>
      <c r="Y89" s="120">
        <v>0</v>
      </c>
    </row>
    <row r="90" spans="3:42" x14ac:dyDescent="0.35">
      <c r="C90" s="88"/>
      <c r="F90" t="s">
        <v>376</v>
      </c>
      <c r="G90" s="28" t="s">
        <v>283</v>
      </c>
      <c r="J90" s="79"/>
      <c r="K90" s="79"/>
      <c r="L90" s="79"/>
      <c r="M90" s="79"/>
      <c r="N90" s="79"/>
      <c r="O90" s="79"/>
      <c r="P90" s="79"/>
      <c r="Q90" s="79"/>
      <c r="R90" s="79"/>
      <c r="S90" s="79"/>
      <c r="T90" s="79"/>
      <c r="U90" s="79"/>
      <c r="V90" s="79"/>
      <c r="W90" s="79"/>
      <c r="X90" s="79"/>
      <c r="Y90" s="79"/>
    </row>
    <row r="91" spans="3:42" x14ac:dyDescent="0.35">
      <c r="C91" s="88"/>
      <c r="F91" s="37" t="s">
        <v>377</v>
      </c>
      <c r="G91" s="67" t="s">
        <v>283</v>
      </c>
      <c r="H91" s="37"/>
      <c r="I91" s="37"/>
      <c r="J91" s="81"/>
      <c r="K91" s="81"/>
      <c r="L91" s="81"/>
      <c r="M91" s="81"/>
      <c r="N91" s="81"/>
      <c r="O91" s="81"/>
      <c r="P91" s="81"/>
      <c r="Q91" s="81"/>
      <c r="R91" s="81"/>
      <c r="S91" s="81"/>
      <c r="T91" s="81"/>
      <c r="U91" s="81"/>
      <c r="V91" s="81"/>
      <c r="W91" s="81"/>
      <c r="X91" s="81"/>
      <c r="Y91" s="81"/>
    </row>
    <row r="92" spans="3:42" x14ac:dyDescent="0.35">
      <c r="C92" s="88"/>
      <c r="F92" s="2"/>
    </row>
    <row r="93" spans="3:42" x14ac:dyDescent="0.35">
      <c r="D93"/>
      <c r="E93" s="32" t="s">
        <v>120</v>
      </c>
      <c r="H93" s="14"/>
      <c r="J93" s="63"/>
      <c r="L93" s="63"/>
      <c r="AP93" s="3"/>
    </row>
    <row r="94" spans="3:42" x14ac:dyDescent="0.35">
      <c r="C94" s="32"/>
      <c r="D94"/>
      <c r="E94"/>
      <c r="F94" s="23" t="s">
        <v>191</v>
      </c>
      <c r="G94" s="23" t="s">
        <v>167</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35">
      <c r="C95" s="32"/>
      <c r="D95"/>
      <c r="E95"/>
      <c r="F95" t="s">
        <v>192</v>
      </c>
      <c r="G95" t="s">
        <v>167</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35">
      <c r="C96" s="32"/>
      <c r="D96"/>
      <c r="E96"/>
      <c r="F96" t="s">
        <v>193</v>
      </c>
      <c r="G96" t="s">
        <v>167</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35">
      <c r="C97" s="32"/>
      <c r="D97"/>
      <c r="E97"/>
      <c r="F97" t="s">
        <v>194</v>
      </c>
      <c r="G97" t="s">
        <v>167</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35">
      <c r="C98" s="32"/>
      <c r="D98"/>
      <c r="E98"/>
      <c r="F98" t="s">
        <v>195</v>
      </c>
      <c r="G98" t="s">
        <v>167</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35">
      <c r="C99" s="32"/>
      <c r="D99"/>
      <c r="E99"/>
      <c r="F99" t="s">
        <v>196</v>
      </c>
      <c r="G99" t="s">
        <v>167</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35">
      <c r="C100" s="32"/>
      <c r="D100"/>
      <c r="E100"/>
      <c r="F100" t="s">
        <v>197</v>
      </c>
      <c r="G100" t="s">
        <v>167</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35">
      <c r="C101" s="32"/>
      <c r="D101"/>
      <c r="E101"/>
      <c r="F101" t="s">
        <v>198</v>
      </c>
      <c r="G101" t="s">
        <v>167</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35">
      <c r="C102" s="32"/>
      <c r="D102"/>
      <c r="E102"/>
      <c r="F102" s="37" t="s">
        <v>199</v>
      </c>
      <c r="G102" s="37" t="s">
        <v>167</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35">
      <c r="C103" s="88"/>
      <c r="D103"/>
      <c r="F103" s="2"/>
    </row>
    <row r="104" spans="3:42" x14ac:dyDescent="0.35">
      <c r="E104" s="32" t="s">
        <v>695</v>
      </c>
    </row>
    <row r="105" spans="3:42" x14ac:dyDescent="0.35">
      <c r="C105" s="88"/>
      <c r="F105" s="23" t="s">
        <v>189</v>
      </c>
      <c r="G105" s="23" t="s">
        <v>167</v>
      </c>
      <c r="H105" s="208"/>
      <c r="I105" s="208"/>
      <c r="J105" s="65"/>
      <c r="K105" s="65"/>
      <c r="L105" s="65"/>
      <c r="M105" s="65"/>
      <c r="N105" s="65"/>
      <c r="O105" s="65"/>
      <c r="P105" s="65"/>
      <c r="Q105" s="65"/>
      <c r="R105" s="65"/>
      <c r="S105" s="65"/>
      <c r="T105" s="65"/>
      <c r="U105" s="65"/>
      <c r="V105" s="65"/>
      <c r="W105" s="65"/>
      <c r="X105" s="65"/>
      <c r="Y105" s="65"/>
    </row>
    <row r="106" spans="3:42" x14ac:dyDescent="0.35">
      <c r="C106" s="88"/>
      <c r="F106" t="s">
        <v>191</v>
      </c>
      <c r="G106" t="s">
        <v>167</v>
      </c>
      <c r="H106" s="209"/>
      <c r="I106" s="209"/>
      <c r="J106" s="66"/>
      <c r="K106" s="66"/>
      <c r="L106" s="66"/>
      <c r="M106" s="66"/>
      <c r="N106" s="66"/>
      <c r="O106" s="66"/>
      <c r="P106" s="66"/>
      <c r="Q106" s="66"/>
      <c r="R106" s="66"/>
      <c r="S106" s="66"/>
      <c r="T106" s="66"/>
      <c r="U106" s="66"/>
      <c r="V106" s="66"/>
      <c r="W106" s="66"/>
      <c r="X106" s="66"/>
      <c r="Y106" s="66"/>
    </row>
    <row r="107" spans="3:42" x14ac:dyDescent="0.35">
      <c r="C107" s="88"/>
      <c r="F107" t="s">
        <v>192</v>
      </c>
      <c r="G107" t="s">
        <v>167</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35">
      <c r="C108" s="88"/>
      <c r="F108" t="s">
        <v>193</v>
      </c>
      <c r="G108" t="s">
        <v>167</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row>
    <row r="109" spans="3:42" x14ac:dyDescent="0.35">
      <c r="C109" s="88"/>
      <c r="F109" t="s">
        <v>194</v>
      </c>
      <c r="G109" t="s">
        <v>167</v>
      </c>
      <c r="H109" s="209"/>
      <c r="I109" s="209"/>
      <c r="J109" s="25">
        <v>6.4338235294117696E-3</v>
      </c>
      <c r="K109" s="25">
        <v>6.4338235294117696E-3</v>
      </c>
      <c r="L109" s="25">
        <v>6.4338235294117696E-3</v>
      </c>
      <c r="M109" s="25">
        <v>6.4338235294117696E-3</v>
      </c>
      <c r="N109" s="25">
        <v>6.4338235294117696E-3</v>
      </c>
      <c r="O109" s="25">
        <v>6.4338235294117696E-3</v>
      </c>
      <c r="P109" s="25">
        <v>1.16978609625668E-2</v>
      </c>
      <c r="Q109" s="25">
        <v>6.4338235294117696E-3</v>
      </c>
      <c r="R109" s="25">
        <v>6.4338235294117696E-3</v>
      </c>
      <c r="S109" s="25">
        <v>6.4338235294117696E-3</v>
      </c>
      <c r="T109" s="25">
        <v>6.4338235294117696E-3</v>
      </c>
      <c r="U109" s="25">
        <v>6.4338235294117696E-3</v>
      </c>
      <c r="V109" s="25">
        <v>6.4338235294117696E-3</v>
      </c>
      <c r="W109" s="25">
        <v>6.4338235294117696E-3</v>
      </c>
      <c r="X109" s="25">
        <v>1.16978609625668E-2</v>
      </c>
      <c r="Y109" s="25">
        <v>1.16978609625668E-2</v>
      </c>
    </row>
    <row r="110" spans="3:42" x14ac:dyDescent="0.35">
      <c r="C110" s="88"/>
      <c r="F110" t="s">
        <v>195</v>
      </c>
      <c r="G110" t="s">
        <v>167</v>
      </c>
      <c r="H110" s="209"/>
      <c r="I110" s="209"/>
      <c r="J110" s="25">
        <v>4.1617122473246101E-3</v>
      </c>
      <c r="K110" s="25">
        <v>4.1617122473246101E-3</v>
      </c>
      <c r="L110" s="25">
        <v>4.1617122473246101E-3</v>
      </c>
      <c r="M110" s="25">
        <v>4.1617122473246101E-3</v>
      </c>
      <c r="N110" s="25">
        <v>4.1617122473246101E-3</v>
      </c>
      <c r="O110" s="25">
        <v>4.1617122473246101E-3</v>
      </c>
      <c r="P110" s="25">
        <v>7.56674954059021E-3</v>
      </c>
      <c r="Q110" s="25">
        <v>4.1617122473246101E-3</v>
      </c>
      <c r="R110" s="25">
        <v>4.1617122473246101E-3</v>
      </c>
      <c r="S110" s="25">
        <v>4.1617122473246101E-3</v>
      </c>
      <c r="T110" s="25">
        <v>4.1617122473246101E-3</v>
      </c>
      <c r="U110" s="25">
        <v>4.1617122473246101E-3</v>
      </c>
      <c r="V110" s="25">
        <v>4.1617122473246101E-3</v>
      </c>
      <c r="W110" s="25">
        <v>4.1617122473246101E-3</v>
      </c>
      <c r="X110" s="25">
        <v>7.56674954059021E-3</v>
      </c>
      <c r="Y110" s="25">
        <v>7.56674954059021E-3</v>
      </c>
    </row>
    <row r="111" spans="3:42" x14ac:dyDescent="0.35">
      <c r="C111" s="88"/>
      <c r="F111" t="s">
        <v>196</v>
      </c>
      <c r="G111" t="s">
        <v>167</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35">
      <c r="C112" s="88"/>
      <c r="F112" t="s">
        <v>197</v>
      </c>
      <c r="G112" t="s">
        <v>167</v>
      </c>
      <c r="H112" s="209"/>
      <c r="I112" s="209"/>
      <c r="J112" s="25">
        <v>0.42522380337704002</v>
      </c>
      <c r="K112" s="25">
        <v>0.42522380337704002</v>
      </c>
      <c r="L112" s="25">
        <v>0.42522380337704002</v>
      </c>
      <c r="M112" s="25">
        <v>0.42522380337704002</v>
      </c>
      <c r="N112" s="25">
        <v>0.42522380337704002</v>
      </c>
      <c r="O112" s="25">
        <v>0.42522380337704002</v>
      </c>
      <c r="P112" s="25">
        <v>0.38896884219615702</v>
      </c>
      <c r="Q112" s="25">
        <v>0.42522380337704002</v>
      </c>
      <c r="R112" s="25">
        <v>0.42522380337704002</v>
      </c>
      <c r="S112" s="25">
        <v>0.42522380337704002</v>
      </c>
      <c r="T112" s="25">
        <v>0.42522380337704002</v>
      </c>
      <c r="U112" s="25">
        <v>0.42522380337704002</v>
      </c>
      <c r="V112" s="25">
        <v>0.42522380337704002</v>
      </c>
      <c r="W112" s="25">
        <v>0.42522380337704002</v>
      </c>
      <c r="X112" s="25">
        <v>0.38896884219615702</v>
      </c>
      <c r="Y112" s="25">
        <v>0.38896884219615702</v>
      </c>
    </row>
    <row r="113" spans="2:27" x14ac:dyDescent="0.35">
      <c r="C113" s="88"/>
      <c r="F113" t="s">
        <v>198</v>
      </c>
      <c r="G113" t="s">
        <v>167</v>
      </c>
      <c r="H113" s="209"/>
      <c r="I113" s="209"/>
      <c r="J113" s="25">
        <v>0.78260869565217395</v>
      </c>
      <c r="K113" s="25">
        <v>0.78260869565217395</v>
      </c>
      <c r="L113" s="25">
        <v>0.78260869565217395</v>
      </c>
      <c r="M113" s="25">
        <v>0.78260869565217395</v>
      </c>
      <c r="N113" s="25">
        <v>0.78260869565217395</v>
      </c>
      <c r="O113" s="25">
        <v>0.78260869565217395</v>
      </c>
      <c r="P113" s="25">
        <v>0</v>
      </c>
      <c r="Q113" s="25">
        <v>0.78260869565217395</v>
      </c>
      <c r="R113" s="25">
        <v>0.78260869565217395</v>
      </c>
      <c r="S113" s="25">
        <v>0.78260869565217395</v>
      </c>
      <c r="T113" s="25">
        <v>0.78260869565217395</v>
      </c>
      <c r="U113" s="25">
        <v>0.78260869565217395</v>
      </c>
      <c r="V113" s="25">
        <v>0.78260869565217395</v>
      </c>
      <c r="W113" s="25">
        <v>0.78260869565217395</v>
      </c>
      <c r="X113" s="25">
        <v>0</v>
      </c>
      <c r="Y113" s="25">
        <v>0</v>
      </c>
    </row>
    <row r="114" spans="2:27" x14ac:dyDescent="0.35">
      <c r="C114" s="88"/>
      <c r="F114" t="s">
        <v>199</v>
      </c>
      <c r="G114" t="s">
        <v>167</v>
      </c>
      <c r="H114" s="209"/>
      <c r="I114" s="209"/>
      <c r="J114" s="25">
        <v>0.966742252456538</v>
      </c>
      <c r="K114" s="25">
        <v>0.966742252456538</v>
      </c>
      <c r="L114" s="25">
        <v>0.966742252456538</v>
      </c>
      <c r="M114" s="25">
        <v>0.966742252456538</v>
      </c>
      <c r="N114" s="25">
        <v>0.966742252456538</v>
      </c>
      <c r="O114" s="25">
        <v>0</v>
      </c>
      <c r="P114" s="25">
        <v>0</v>
      </c>
      <c r="Q114" s="25">
        <v>0.966742252456538</v>
      </c>
      <c r="R114" s="25">
        <v>0.966742252456538</v>
      </c>
      <c r="S114" s="25">
        <v>0</v>
      </c>
      <c r="T114" s="25">
        <v>0.966742252456538</v>
      </c>
      <c r="U114" s="25">
        <v>0.966742252456538</v>
      </c>
      <c r="V114" s="25">
        <v>0</v>
      </c>
      <c r="W114" s="25">
        <v>0</v>
      </c>
      <c r="X114" s="25">
        <v>0</v>
      </c>
      <c r="Y114" s="25">
        <v>0</v>
      </c>
    </row>
    <row r="115" spans="2:27" x14ac:dyDescent="0.35">
      <c r="C115" s="88"/>
      <c r="F115" t="s">
        <v>376</v>
      </c>
      <c r="G115" t="s">
        <v>167</v>
      </c>
      <c r="J115" s="66"/>
      <c r="K115" s="66"/>
      <c r="L115" s="66"/>
      <c r="M115" s="66"/>
      <c r="N115" s="66"/>
      <c r="O115" s="66"/>
      <c r="P115" s="66"/>
      <c r="Q115" s="66"/>
      <c r="R115" s="66"/>
      <c r="S115" s="66"/>
      <c r="T115" s="66"/>
      <c r="U115" s="66"/>
      <c r="V115" s="66"/>
      <c r="W115" s="66"/>
      <c r="X115" s="66"/>
      <c r="Y115" s="66"/>
    </row>
    <row r="116" spans="2:27" x14ac:dyDescent="0.35">
      <c r="C116" s="88"/>
      <c r="F116" s="37" t="s">
        <v>377</v>
      </c>
      <c r="G116" s="37" t="s">
        <v>167</v>
      </c>
      <c r="H116" s="37"/>
      <c r="I116" s="37"/>
      <c r="J116" s="68"/>
      <c r="K116" s="68"/>
      <c r="L116" s="68"/>
      <c r="M116" s="68"/>
      <c r="N116" s="68"/>
      <c r="O116" s="68"/>
      <c r="P116" s="68"/>
      <c r="Q116" s="68"/>
      <c r="R116" s="68"/>
      <c r="S116" s="68"/>
      <c r="T116" s="68"/>
      <c r="U116" s="68"/>
      <c r="V116" s="68"/>
      <c r="W116" s="68"/>
      <c r="X116" s="68"/>
      <c r="Y116" s="68"/>
    </row>
    <row r="117" spans="2:27" x14ac:dyDescent="0.35">
      <c r="C117" s="88"/>
      <c r="D117"/>
      <c r="F117" s="2"/>
    </row>
    <row r="118" spans="2:27" x14ac:dyDescent="0.35">
      <c r="D118"/>
      <c r="E118" s="32" t="s">
        <v>696</v>
      </c>
      <c r="F118" s="2"/>
      <c r="I118" t="s">
        <v>154</v>
      </c>
      <c r="AA118" t="s">
        <v>697</v>
      </c>
    </row>
    <row r="119" spans="2:27" x14ac:dyDescent="0.35">
      <c r="D119"/>
      <c r="E119" s="29" t="s">
        <v>698</v>
      </c>
      <c r="F119" s="2"/>
    </row>
    <row r="120" spans="2:27" x14ac:dyDescent="0.35">
      <c r="D120"/>
      <c r="E120" s="29" t="s">
        <v>699</v>
      </c>
      <c r="F120" s="2"/>
    </row>
    <row r="121" spans="2:27" x14ac:dyDescent="0.35">
      <c r="D121"/>
      <c r="F121" s="23" t="s">
        <v>700</v>
      </c>
      <c r="G121" s="23" t="s">
        <v>673</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35">
      <c r="D122"/>
      <c r="F122" t="s">
        <v>701</v>
      </c>
      <c r="G122" t="s">
        <v>673</v>
      </c>
      <c r="J122" s="148">
        <f>'Fixed inputs'!J137</f>
        <v>0</v>
      </c>
      <c r="K122" s="148">
        <f>'Fixed inputs'!K137</f>
        <v>0</v>
      </c>
      <c r="L122" s="148">
        <f>'Fixed inputs'!L137</f>
        <v>0</v>
      </c>
      <c r="M122" s="148">
        <f>'Fixed inputs'!M137</f>
        <v>0</v>
      </c>
      <c r="N122" s="148">
        <f>'Fixed inputs'!N137</f>
        <v>1</v>
      </c>
      <c r="O122" s="148">
        <f>'Fixed inputs'!O137</f>
        <v>1</v>
      </c>
      <c r="P122" s="148">
        <f>'Fixed inputs'!P137</f>
        <v>1</v>
      </c>
      <c r="Q122" s="148">
        <f>'Fixed inputs'!Q137</f>
        <v>0</v>
      </c>
      <c r="R122" s="148">
        <f>'Fixed inputs'!R137</f>
        <v>0</v>
      </c>
      <c r="S122" s="148">
        <f>'Fixed inputs'!S137</f>
        <v>0</v>
      </c>
      <c r="T122" s="148">
        <f>'Fixed inputs'!T137</f>
        <v>0</v>
      </c>
      <c r="U122" s="148">
        <f>'Fixed inputs'!U137</f>
        <v>0</v>
      </c>
      <c r="V122" s="148">
        <f>'Fixed inputs'!V137</f>
        <v>0</v>
      </c>
      <c r="W122" s="148">
        <f>'Fixed inputs'!W137</f>
        <v>0</v>
      </c>
      <c r="X122" s="148">
        <f>'Fixed inputs'!X137</f>
        <v>0</v>
      </c>
      <c r="Y122" s="148">
        <f>'Fixed inputs'!Y137</f>
        <v>0</v>
      </c>
    </row>
    <row r="123" spans="2:27" x14ac:dyDescent="0.35">
      <c r="D123"/>
      <c r="F123" s="37" t="s">
        <v>227</v>
      </c>
      <c r="G123" s="37" t="s">
        <v>673</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35">
      <c r="C124" s="88"/>
    </row>
    <row r="125" spans="2:27" x14ac:dyDescent="0.35">
      <c r="B125" s="30" t="s">
        <v>702</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35">
      <c r="C126" s="88"/>
    </row>
    <row r="127" spans="2:27" x14ac:dyDescent="0.35">
      <c r="B127" s="203"/>
      <c r="C127" s="29" t="s">
        <v>703</v>
      </c>
      <c r="D127"/>
      <c r="E127"/>
    </row>
    <row r="128" spans="2:27" x14ac:dyDescent="0.35">
      <c r="C128" s="88"/>
    </row>
    <row r="129" spans="3:27" x14ac:dyDescent="0.35">
      <c r="C129" s="31" t="str">
        <f ca="1">INDEX('Version control'!$H$34:$H$57,MATCH($A$1,'Version control'!$F$34:$F$57,0),1)&amp;"-B: Capacity-based charge elements (to be split between capacity &amp; fixed charges)"</f>
        <v>Section 112-B: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35">
      <c r="C131" s="88"/>
      <c r="E131" s="32" t="s">
        <v>621</v>
      </c>
      <c r="I131" t="s">
        <v>154</v>
      </c>
      <c r="AA131" t="s">
        <v>704</v>
      </c>
    </row>
    <row r="132" spans="3:27" x14ac:dyDescent="0.35">
      <c r="C132" s="88"/>
      <c r="F132" s="23" t="s">
        <v>189</v>
      </c>
      <c r="G132" s="23" t="s">
        <v>271</v>
      </c>
      <c r="H132" s="23"/>
      <c r="I132" s="23"/>
      <c r="J132" s="83"/>
      <c r="K132" s="83"/>
      <c r="L132" s="83"/>
      <c r="M132" s="83"/>
      <c r="N132" s="83"/>
      <c r="O132" s="83"/>
      <c r="P132" s="83"/>
      <c r="Q132" s="83"/>
      <c r="R132" s="83"/>
      <c r="S132" s="83"/>
      <c r="T132" s="83"/>
      <c r="U132" s="83"/>
      <c r="V132" s="83"/>
      <c r="W132" s="83"/>
      <c r="X132" s="83"/>
      <c r="Y132" s="83"/>
    </row>
    <row r="133" spans="3:27" x14ac:dyDescent="0.35">
      <c r="C133" s="88"/>
      <c r="F133" t="s">
        <v>191</v>
      </c>
      <c r="G133" t="s">
        <v>271</v>
      </c>
      <c r="J133" s="79"/>
      <c r="K133" s="79"/>
      <c r="L133" s="79"/>
      <c r="M133" s="79"/>
      <c r="N133" s="79"/>
      <c r="O133" s="79"/>
      <c r="P133" s="79"/>
      <c r="Q133" s="79"/>
      <c r="R133" s="79"/>
      <c r="S133" s="79"/>
      <c r="T133" s="79"/>
      <c r="U133" s="79"/>
      <c r="V133" s="79"/>
      <c r="W133" s="79"/>
      <c r="X133" s="79"/>
      <c r="Y133" s="79"/>
    </row>
    <row r="134" spans="3:27" x14ac:dyDescent="0.35">
      <c r="C134" s="88"/>
      <c r="F134" t="s">
        <v>192</v>
      </c>
      <c r="G134" t="s">
        <v>271</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35">
      <c r="C135" s="88"/>
      <c r="F135" t="s">
        <v>193</v>
      </c>
      <c r="G135" t="s">
        <v>271</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35">
      <c r="C136" s="88"/>
      <c r="F136" t="s">
        <v>194</v>
      </c>
      <c r="G136" t="s">
        <v>271</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0.41367934253055577</v>
      </c>
      <c r="Q136" s="98">
        <f t="shared" ref="Q136" si="11">hundred*Q97*$H55*Q84/$H41*(1-Q109)/days_in_year/(1+$H27)*PowerFactor</f>
        <v>0</v>
      </c>
      <c r="R136" s="79"/>
      <c r="S136" s="79"/>
      <c r="T136" s="79"/>
      <c r="U136" s="79"/>
      <c r="V136" s="79"/>
      <c r="W136" s="79"/>
      <c r="X136" s="79"/>
      <c r="Y136" s="79"/>
    </row>
    <row r="137" spans="3:27" x14ac:dyDescent="0.35">
      <c r="C137" s="88"/>
      <c r="F137" t="s">
        <v>195</v>
      </c>
      <c r="G137" t="s">
        <v>271</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1.8793004963784097</v>
      </c>
      <c r="Q137" s="98">
        <f t="shared" ref="Q137" si="15">hundred*Q98*$H56*Q85/$H42*(1-Q110)/days_in_year/(1+$H28)*PowerFactor</f>
        <v>0</v>
      </c>
      <c r="R137" s="79"/>
      <c r="S137" s="79"/>
      <c r="T137" s="79"/>
      <c r="U137" s="79"/>
      <c r="V137" s="79"/>
      <c r="W137" s="79"/>
      <c r="X137" s="79"/>
      <c r="Y137" s="79"/>
    </row>
    <row r="138" spans="3:27" x14ac:dyDescent="0.35">
      <c r="C138" s="88"/>
      <c r="F138" t="s">
        <v>196</v>
      </c>
      <c r="G138" t="s">
        <v>271</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35">
      <c r="C139" s="88"/>
      <c r="F139" t="s">
        <v>197</v>
      </c>
      <c r="G139" t="s">
        <v>271</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0.59174436342575909</v>
      </c>
      <c r="O139" s="98">
        <f t="shared" si="22"/>
        <v>2.8564184239978627</v>
      </c>
      <c r="P139" s="98">
        <f t="shared" si="22"/>
        <v>2.9679035294975309</v>
      </c>
      <c r="Q139" s="98">
        <f t="shared" ref="Q139" si="23">hundred*Q100*$H58*Q87/$H44*(1-Q112)/days_in_year/(1+$H30)*PowerFactor</f>
        <v>0</v>
      </c>
      <c r="R139" s="79"/>
      <c r="S139" s="79"/>
      <c r="T139" s="79"/>
      <c r="U139" s="79"/>
      <c r="V139" s="79"/>
      <c r="W139" s="79"/>
      <c r="X139" s="79"/>
      <c r="Y139" s="79"/>
    </row>
    <row r="140" spans="3:27" x14ac:dyDescent="0.35">
      <c r="C140" s="88"/>
      <c r="F140" t="s">
        <v>198</v>
      </c>
      <c r="G140" t="s">
        <v>271</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0.27097848514900452</v>
      </c>
      <c r="O140" s="98">
        <f t="shared" si="26"/>
        <v>0.26160889239589968</v>
      </c>
      <c r="P140" s="98">
        <f t="shared" si="26"/>
        <v>0</v>
      </c>
      <c r="Q140" s="98">
        <f t="shared" ref="Q140" si="27">hundred*Q101*$H59*Q88/$H45*(1-Q113)/days_in_year/(1+$H31)*PowerFactor</f>
        <v>0</v>
      </c>
      <c r="R140" s="79"/>
      <c r="S140" s="79"/>
      <c r="T140" s="79"/>
      <c r="U140" s="79"/>
      <c r="V140" s="79"/>
      <c r="W140" s="79"/>
      <c r="X140" s="79"/>
      <c r="Y140" s="79"/>
    </row>
    <row r="141" spans="3:27" x14ac:dyDescent="0.35">
      <c r="C141" s="88"/>
      <c r="F141" t="s">
        <v>199</v>
      </c>
      <c r="G141" t="s">
        <v>271</v>
      </c>
      <c r="J141" s="98">
        <f t="shared" ref="J141:K141" si="28">hundred*J102*$H60*J89/$H46*(1-J114)/days_in_year/(1+$H32)*PowerFactor</f>
        <v>9.1632129837615817E-2</v>
      </c>
      <c r="K141" s="98">
        <f t="shared" si="28"/>
        <v>9.1632129837615817E-2</v>
      </c>
      <c r="L141" s="98">
        <f t="shared" ref="L141:M141" si="29">hundred*L102*$H60*L89/$H46*(1-L114)/days_in_year/(1+$H32)*PowerFactor</f>
        <v>9.1632129837615817E-2</v>
      </c>
      <c r="M141" s="98">
        <f t="shared" si="29"/>
        <v>9.1632129837615817E-2</v>
      </c>
      <c r="N141" s="98">
        <f t="shared" ref="N141:P141" si="30">hundred*N102*$H60*N89/$H46*(1-N114)/days_in_year/(1+$H32)*PowerFactor</f>
        <v>9.1632129837615817E-2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35">
      <c r="C142" s="88"/>
      <c r="D142"/>
      <c r="F142" t="s">
        <v>376</v>
      </c>
      <c r="G142" t="s">
        <v>271</v>
      </c>
      <c r="J142" s="79"/>
      <c r="K142" s="79"/>
      <c r="L142" s="79"/>
      <c r="M142" s="79"/>
      <c r="N142" s="79"/>
      <c r="O142" s="79"/>
      <c r="P142" s="79"/>
      <c r="Q142" s="79"/>
      <c r="R142" s="79"/>
      <c r="S142" s="79"/>
      <c r="T142" s="79"/>
      <c r="U142" s="79"/>
      <c r="V142" s="79"/>
      <c r="W142" s="79"/>
      <c r="X142" s="79"/>
      <c r="Y142" s="79"/>
    </row>
    <row r="143" spans="3:27" x14ac:dyDescent="0.35">
      <c r="C143" s="88"/>
      <c r="D143"/>
      <c r="F143" s="37" t="s">
        <v>377</v>
      </c>
      <c r="G143" s="37" t="s">
        <v>271</v>
      </c>
      <c r="H143" s="37"/>
      <c r="I143" s="37"/>
      <c r="J143" s="81"/>
      <c r="K143" s="81"/>
      <c r="L143" s="81"/>
      <c r="M143" s="81"/>
      <c r="N143" s="81"/>
      <c r="O143" s="81"/>
      <c r="P143" s="81"/>
      <c r="Q143" s="81"/>
      <c r="R143" s="81"/>
      <c r="S143" s="81"/>
      <c r="T143" s="81"/>
      <c r="U143" s="81"/>
      <c r="V143" s="81"/>
      <c r="W143" s="81"/>
      <c r="X143" s="81"/>
      <c r="Y143" s="81"/>
    </row>
    <row r="144" spans="3:27" x14ac:dyDescent="0.35">
      <c r="C144" s="88"/>
      <c r="D144"/>
      <c r="J144" s="98"/>
      <c r="K144" s="98"/>
      <c r="L144" s="98"/>
      <c r="M144" s="98"/>
      <c r="N144" s="98"/>
      <c r="O144" s="98"/>
      <c r="P144" s="98"/>
      <c r="Q144" s="98"/>
      <c r="R144" s="98"/>
      <c r="S144" s="98"/>
      <c r="T144" s="98"/>
      <c r="U144" s="98"/>
      <c r="V144" s="98"/>
      <c r="W144" s="98"/>
      <c r="X144" s="98"/>
      <c r="Y144" s="98"/>
    </row>
    <row r="145" spans="3:27" x14ac:dyDescent="0.35">
      <c r="C145" s="88"/>
      <c r="E145" s="32" t="s">
        <v>622</v>
      </c>
      <c r="J145" s="98"/>
      <c r="K145" s="98"/>
      <c r="L145" s="98"/>
      <c r="M145" s="98"/>
      <c r="N145" s="98"/>
      <c r="O145" s="98"/>
      <c r="P145" s="98"/>
      <c r="Q145" s="98"/>
      <c r="R145" s="98"/>
      <c r="S145" s="98"/>
      <c r="T145" s="98"/>
      <c r="U145" s="98"/>
      <c r="V145" s="98"/>
      <c r="W145" s="98"/>
      <c r="X145" s="98"/>
      <c r="Y145" s="98"/>
    </row>
    <row r="146" spans="3:27" x14ac:dyDescent="0.35">
      <c r="C146" s="88"/>
      <c r="F146" s="23" t="s">
        <v>189</v>
      </c>
      <c r="G146" s="23" t="s">
        <v>271</v>
      </c>
      <c r="H146" s="23"/>
      <c r="I146" s="23"/>
      <c r="J146" s="153">
        <f t="shared" ref="J146:K146" si="32">hundred*J94*$H65*J80/$H37/days_in_year/(1+$H23)*PowerFactor</f>
        <v>0</v>
      </c>
      <c r="K146" s="153">
        <f t="shared" si="32"/>
        <v>0</v>
      </c>
      <c r="L146" s="153">
        <f t="shared" ref="L146:M146" si="33">hundred*L94*$H65*L80/$H37/days_in_year/(1+$H23)*PowerFactor</f>
        <v>0</v>
      </c>
      <c r="M146" s="153">
        <f t="shared" si="33"/>
        <v>0</v>
      </c>
      <c r="N146" s="153">
        <f t="shared" ref="N146:P146" si="34">hundred*N94*$H65*N80/$H37/days_in_year/(1+$H23)*PowerFactor</f>
        <v>0</v>
      </c>
      <c r="O146" s="153">
        <f t="shared" si="34"/>
        <v>0</v>
      </c>
      <c r="P146" s="153">
        <f t="shared" si="34"/>
        <v>0</v>
      </c>
      <c r="Q146" s="153">
        <f t="shared" ref="Q146" si="35">hundred*Q94*$H65*Q80/$H37/days_in_year/(1+$H23)*PowerFactor</f>
        <v>0</v>
      </c>
      <c r="R146" s="83"/>
      <c r="S146" s="83"/>
      <c r="T146" s="83"/>
      <c r="U146" s="83"/>
      <c r="V146" s="83"/>
      <c r="W146" s="83"/>
      <c r="X146" s="83"/>
      <c r="Y146" s="83"/>
    </row>
    <row r="147" spans="3:27" x14ac:dyDescent="0.35">
      <c r="C147" s="88"/>
      <c r="F147" t="s">
        <v>191</v>
      </c>
      <c r="G147" t="s">
        <v>271</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35">
      <c r="C148" s="88"/>
      <c r="F148" t="s">
        <v>192</v>
      </c>
      <c r="G148" t="s">
        <v>271</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35">
      <c r="C149" s="88"/>
      <c r="F149" t="s">
        <v>193</v>
      </c>
      <c r="G149" t="s">
        <v>271</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35">
      <c r="C150" s="88"/>
      <c r="F150" t="s">
        <v>194</v>
      </c>
      <c r="G150" t="s">
        <v>271</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0.37365888210426196</v>
      </c>
      <c r="Q150" s="98">
        <f t="shared" ref="Q150" si="51">hundred*Q97*$H69*Q84/$H41/days_in_year/(1+$H27)*PowerFactor</f>
        <v>0</v>
      </c>
      <c r="R150" s="79"/>
      <c r="S150" s="79"/>
      <c r="T150" s="79"/>
      <c r="U150" s="79"/>
      <c r="V150" s="79"/>
      <c r="W150" s="79"/>
      <c r="X150" s="79"/>
      <c r="Y150" s="79"/>
    </row>
    <row r="151" spans="3:27" x14ac:dyDescent="0.35">
      <c r="C151" s="88"/>
      <c r="F151" t="s">
        <v>195</v>
      </c>
      <c r="G151" t="s">
        <v>271</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1.6904258798661538</v>
      </c>
      <c r="Q151" s="98">
        <f t="shared" ref="Q151" si="55">hundred*Q98*$H70*Q85/$H42/days_in_year/(1+$H28)*PowerFactor</f>
        <v>0</v>
      </c>
      <c r="R151" s="79"/>
      <c r="S151" s="79"/>
      <c r="T151" s="79"/>
      <c r="U151" s="79"/>
      <c r="V151" s="79"/>
      <c r="W151" s="79"/>
      <c r="X151" s="79"/>
      <c r="Y151" s="79"/>
    </row>
    <row r="152" spans="3:27" x14ac:dyDescent="0.35">
      <c r="C152" s="88"/>
      <c r="F152" t="s">
        <v>196</v>
      </c>
      <c r="G152" t="s">
        <v>271</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35">
      <c r="C153" s="88"/>
      <c r="F153" t="s">
        <v>197</v>
      </c>
      <c r="G153" t="s">
        <v>271</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0.91904455531959772</v>
      </c>
      <c r="O153" s="98">
        <f t="shared" si="62"/>
        <v>4.4363342729485584</v>
      </c>
      <c r="P153" s="98">
        <f t="shared" si="62"/>
        <v>4.3359836390647084</v>
      </c>
      <c r="Q153" s="98">
        <f t="shared" ref="Q153" si="63">hundred*Q100*$H72*Q87/$H44/days_in_year/(1+$H30)*PowerFactor</f>
        <v>0</v>
      </c>
      <c r="R153" s="79"/>
      <c r="S153" s="79"/>
      <c r="T153" s="79"/>
      <c r="U153" s="79"/>
      <c r="V153" s="79"/>
      <c r="W153" s="79"/>
      <c r="X153" s="79"/>
      <c r="Y153" s="79"/>
    </row>
    <row r="154" spans="3:27" x14ac:dyDescent="0.35">
      <c r="C154" s="88"/>
      <c r="F154" t="s">
        <v>198</v>
      </c>
      <c r="G154" t="s">
        <v>271</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1.1127403925633468</v>
      </c>
      <c r="O154" s="98">
        <f t="shared" si="66"/>
        <v>1.0742652925475074</v>
      </c>
      <c r="P154" s="98">
        <f t="shared" si="66"/>
        <v>0</v>
      </c>
      <c r="Q154" s="98">
        <f t="shared" ref="Q154" si="67">hundred*Q101*$H73*Q88/$H45/days_in_year/(1+$H31)*PowerFactor</f>
        <v>0</v>
      </c>
      <c r="R154" s="79"/>
      <c r="S154" s="79"/>
      <c r="T154" s="79"/>
      <c r="U154" s="79"/>
      <c r="V154" s="79"/>
      <c r="W154" s="79"/>
      <c r="X154" s="79"/>
      <c r="Y154" s="79"/>
    </row>
    <row r="155" spans="3:27" x14ac:dyDescent="0.35">
      <c r="C155" s="88"/>
      <c r="F155" t="s">
        <v>199</v>
      </c>
      <c r="G155" t="s">
        <v>271</v>
      </c>
      <c r="J155" s="98">
        <f t="shared" ref="J155:K155" si="68">hundred*J102*$H74*J89/$H46/days_in_year/(1+$H32)*PowerFactor</f>
        <v>2.4595528548041394</v>
      </c>
      <c r="K155" s="98">
        <f t="shared" si="68"/>
        <v>2.4595528548041394</v>
      </c>
      <c r="L155" s="98">
        <f t="shared" ref="L155:M155" si="69">hundred*L102*$H74*L89/$H46/days_in_year/(1+$H32)*PowerFactor</f>
        <v>2.4595528548041394</v>
      </c>
      <c r="M155" s="98">
        <f t="shared" si="69"/>
        <v>2.4595528548041394</v>
      </c>
      <c r="N155" s="98">
        <f t="shared" ref="N155:P155" si="70">hundred*N102*$H74*N89/$H46/days_in_year/(1+$H32)*PowerFactor</f>
        <v>2.4595528548041394</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35">
      <c r="C156" s="88"/>
      <c r="D156"/>
      <c r="F156" t="s">
        <v>376</v>
      </c>
      <c r="G156" t="s">
        <v>271</v>
      </c>
      <c r="J156" s="79"/>
      <c r="K156" s="79"/>
      <c r="L156" s="79"/>
      <c r="M156" s="79"/>
      <c r="N156" s="79"/>
      <c r="O156" s="79"/>
      <c r="P156" s="79"/>
      <c r="Q156" s="79"/>
      <c r="R156" s="79"/>
      <c r="S156" s="79"/>
      <c r="T156" s="79"/>
      <c r="U156" s="79"/>
      <c r="V156" s="79"/>
      <c r="W156" s="79"/>
      <c r="X156" s="79"/>
      <c r="Y156" s="79"/>
    </row>
    <row r="157" spans="3:27" x14ac:dyDescent="0.35">
      <c r="C157" s="88"/>
      <c r="D157"/>
      <c r="F157" s="37" t="s">
        <v>377</v>
      </c>
      <c r="G157" s="37" t="s">
        <v>271</v>
      </c>
      <c r="H157" s="37"/>
      <c r="I157" s="37"/>
      <c r="J157" s="81"/>
      <c r="K157" s="81"/>
      <c r="L157" s="81"/>
      <c r="M157" s="81"/>
      <c r="N157" s="81"/>
      <c r="O157" s="81"/>
      <c r="P157" s="81"/>
      <c r="Q157" s="81"/>
      <c r="R157" s="81"/>
      <c r="S157" s="81"/>
      <c r="T157" s="81"/>
      <c r="U157" s="81"/>
      <c r="V157" s="81"/>
      <c r="W157" s="81"/>
      <c r="X157" s="81"/>
      <c r="Y157" s="81"/>
    </row>
    <row r="158" spans="3:27" x14ac:dyDescent="0.35">
      <c r="C158" s="88"/>
      <c r="J158" s="98"/>
      <c r="K158" s="98"/>
      <c r="L158" s="98"/>
      <c r="M158" s="98"/>
      <c r="N158" s="98"/>
      <c r="O158" s="98"/>
      <c r="P158" s="98"/>
      <c r="Q158" s="98"/>
      <c r="R158" s="98"/>
      <c r="S158" s="98"/>
      <c r="T158" s="98"/>
      <c r="U158" s="98"/>
      <c r="V158" s="98"/>
      <c r="W158" s="98"/>
      <c r="X158" s="98"/>
      <c r="Y158" s="98"/>
    </row>
    <row r="159" spans="3:27" x14ac:dyDescent="0.35">
      <c r="C159" s="31" t="str">
        <f ca="1">INDEX('Version control'!$H$34:$H$57,MATCH($A$1,'Version control'!$F$34:$F$57,0),1)&amp;"-C: Exceeded capacity-based charge elements"</f>
        <v>Section 112-C: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35">
      <c r="J160" s="89"/>
      <c r="K160" s="89"/>
      <c r="L160" s="89"/>
      <c r="M160" s="89"/>
      <c r="N160" s="89"/>
      <c r="O160" s="89"/>
      <c r="P160" s="89"/>
      <c r="Q160" s="89"/>
      <c r="R160" s="89"/>
      <c r="S160" s="89"/>
      <c r="T160" s="89"/>
      <c r="U160" s="89"/>
      <c r="V160" s="89"/>
      <c r="W160" s="89"/>
      <c r="X160" s="89"/>
      <c r="Y160" s="89"/>
    </row>
    <row r="161" spans="3:25" x14ac:dyDescent="0.35">
      <c r="C161" s="88"/>
      <c r="E161" s="32" t="s">
        <v>621</v>
      </c>
      <c r="J161" s="89"/>
      <c r="K161" s="89"/>
      <c r="L161" s="89"/>
      <c r="M161" s="89"/>
      <c r="N161" s="89"/>
      <c r="O161" s="89"/>
      <c r="P161" s="89"/>
      <c r="Q161" s="89"/>
      <c r="R161" s="89"/>
      <c r="S161" s="89"/>
      <c r="T161" s="89"/>
      <c r="U161" s="89"/>
      <c r="V161" s="89"/>
      <c r="W161" s="89"/>
      <c r="X161" s="89"/>
      <c r="Y161" s="89"/>
    </row>
    <row r="162" spans="3:25" x14ac:dyDescent="0.35">
      <c r="C162" s="88"/>
      <c r="F162" s="23" t="s">
        <v>189</v>
      </c>
      <c r="G162" s="23" t="s">
        <v>271</v>
      </c>
      <c r="H162" s="23"/>
      <c r="I162" s="23"/>
      <c r="J162" s="83"/>
      <c r="K162" s="83"/>
      <c r="L162" s="83"/>
      <c r="M162" s="83"/>
      <c r="N162" s="83"/>
      <c r="O162" s="83"/>
      <c r="P162" s="83"/>
      <c r="Q162" s="83"/>
      <c r="R162" s="83"/>
      <c r="S162" s="83"/>
      <c r="T162" s="83"/>
      <c r="U162" s="83"/>
      <c r="V162" s="83"/>
      <c r="W162" s="83"/>
      <c r="X162" s="83"/>
      <c r="Y162" s="83"/>
    </row>
    <row r="163" spans="3:25" x14ac:dyDescent="0.35">
      <c r="C163" s="88"/>
      <c r="F163" t="s">
        <v>191</v>
      </c>
      <c r="G163" t="s">
        <v>271</v>
      </c>
      <c r="J163" s="79"/>
      <c r="K163" s="79"/>
      <c r="L163" s="79"/>
      <c r="M163" s="79"/>
      <c r="N163" s="79"/>
      <c r="O163" s="79"/>
      <c r="P163" s="79"/>
      <c r="Q163" s="79"/>
      <c r="R163" s="79"/>
      <c r="S163" s="79"/>
      <c r="T163" s="79"/>
      <c r="U163" s="79"/>
      <c r="V163" s="79"/>
      <c r="W163" s="79"/>
      <c r="X163" s="79"/>
      <c r="Y163" s="79"/>
    </row>
    <row r="164" spans="3:25" x14ac:dyDescent="0.35">
      <c r="C164" s="88"/>
      <c r="F164" t="s">
        <v>192</v>
      </c>
      <c r="G164" t="s">
        <v>271</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35">
      <c r="C165" s="88"/>
      <c r="F165" t="s">
        <v>193</v>
      </c>
      <c r="G165" t="s">
        <v>271</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35">
      <c r="C166" s="88"/>
      <c r="F166" t="s">
        <v>194</v>
      </c>
      <c r="G166" t="s">
        <v>271</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0.41857578385235805</v>
      </c>
      <c r="Q166" s="98">
        <f t="shared" ref="Q166" si="83">hundred*Q97*$H55*Q84/$H41/days_in_year/(1+$H27)*PowerFactor</f>
        <v>0</v>
      </c>
      <c r="R166" s="79"/>
      <c r="S166" s="79"/>
      <c r="T166" s="79"/>
      <c r="U166" s="79"/>
      <c r="V166" s="79"/>
      <c r="W166" s="79"/>
      <c r="X166" s="79"/>
      <c r="Y166" s="79"/>
    </row>
    <row r="167" spans="3:25" x14ac:dyDescent="0.35">
      <c r="C167" s="88"/>
      <c r="F167" t="s">
        <v>195</v>
      </c>
      <c r="G167" t="s">
        <v>271</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1.8936291136038197</v>
      </c>
      <c r="Q167" s="98">
        <f t="shared" ref="Q167" si="87">hundred*Q98*$H56*Q85/$H42/days_in_year/(1+$H28)*PowerFactor</f>
        <v>0</v>
      </c>
      <c r="R167" s="79"/>
      <c r="S167" s="79"/>
      <c r="T167" s="79"/>
      <c r="U167" s="79"/>
      <c r="V167" s="79"/>
      <c r="W167" s="79"/>
      <c r="X167" s="79"/>
      <c r="Y167" s="79"/>
    </row>
    <row r="168" spans="3:25" x14ac:dyDescent="0.35">
      <c r="C168" s="88"/>
      <c r="F168" t="s">
        <v>196</v>
      </c>
      <c r="G168" t="s">
        <v>271</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35">
      <c r="C169" s="88"/>
      <c r="F169" t="s">
        <v>197</v>
      </c>
      <c r="G169" t="s">
        <v>271</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1.0295213457037606</v>
      </c>
      <c r="O169" s="98">
        <f t="shared" si="94"/>
        <v>4.9696185067865777</v>
      </c>
      <c r="P169" s="98">
        <f t="shared" si="94"/>
        <v>4.8572048930609624</v>
      </c>
      <c r="Q169" s="98">
        <f t="shared" ref="Q169" si="95">hundred*Q100*$H58*Q87/$H44/days_in_year/(1+$H30)*PowerFactor</f>
        <v>0</v>
      </c>
      <c r="R169" s="79"/>
      <c r="S169" s="79"/>
      <c r="T169" s="79"/>
      <c r="U169" s="79"/>
      <c r="V169" s="79"/>
      <c r="W169" s="79"/>
      <c r="X169" s="79"/>
      <c r="Y169" s="79"/>
    </row>
    <row r="170" spans="3:25" x14ac:dyDescent="0.35">
      <c r="C170" s="88"/>
      <c r="F170" t="s">
        <v>198</v>
      </c>
      <c r="G170" t="s">
        <v>271</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1.246501031685421</v>
      </c>
      <c r="O170" s="98">
        <f t="shared" si="98"/>
        <v>1.2034009050211389</v>
      </c>
      <c r="P170" s="98">
        <f t="shared" si="98"/>
        <v>0</v>
      </c>
      <c r="Q170" s="98">
        <f t="shared" ref="Q170" si="99">hundred*Q101*$H59*Q88/$H45/days_in_year/(1+$H31)*PowerFactor</f>
        <v>0</v>
      </c>
      <c r="R170" s="79"/>
      <c r="S170" s="79"/>
      <c r="T170" s="79"/>
      <c r="U170" s="79"/>
      <c r="V170" s="79"/>
      <c r="W170" s="79"/>
      <c r="X170" s="79"/>
      <c r="Y170" s="79"/>
    </row>
    <row r="171" spans="3:25" x14ac:dyDescent="0.35">
      <c r="C171" s="88"/>
      <c r="F171" t="s">
        <v>199</v>
      </c>
      <c r="G171" t="s">
        <v>271</v>
      </c>
      <c r="J171" s="98">
        <f t="shared" ref="J171:K171" si="100">hundred*J102*$H60*J89/$H46/days_in_year/(1+$H32)*PowerFactor</f>
        <v>2.7552115403446615</v>
      </c>
      <c r="K171" s="98">
        <f t="shared" si="100"/>
        <v>2.7552115403446615</v>
      </c>
      <c r="L171" s="98">
        <f t="shared" ref="L171:M171" si="101">hundred*L102*$H60*L89/$H46/days_in_year/(1+$H32)*PowerFactor</f>
        <v>2.7552115403446615</v>
      </c>
      <c r="M171" s="98">
        <f t="shared" si="101"/>
        <v>2.7552115403446615</v>
      </c>
      <c r="N171" s="98">
        <f t="shared" ref="N171:P171" si="102">hundred*N102*$H60*N89/$H46/days_in_year/(1+$H32)*PowerFactor</f>
        <v>2.7552115403446615</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35">
      <c r="C172" s="88"/>
      <c r="F172" t="s">
        <v>376</v>
      </c>
      <c r="G172" t="s">
        <v>271</v>
      </c>
      <c r="J172" s="79"/>
      <c r="K172" s="79"/>
      <c r="L172" s="79"/>
      <c r="M172" s="79"/>
      <c r="N172" s="79"/>
      <c r="O172" s="79"/>
      <c r="P172" s="79"/>
      <c r="Q172" s="79"/>
      <c r="R172" s="79"/>
      <c r="S172" s="79"/>
      <c r="T172" s="79"/>
      <c r="U172" s="79"/>
      <c r="V172" s="79"/>
      <c r="W172" s="79"/>
      <c r="X172" s="79"/>
      <c r="Y172" s="79"/>
    </row>
    <row r="173" spans="3:25" x14ac:dyDescent="0.35">
      <c r="C173" s="88"/>
      <c r="F173" s="37" t="s">
        <v>377</v>
      </c>
      <c r="G173" s="37" t="s">
        <v>271</v>
      </c>
      <c r="H173" s="37"/>
      <c r="I173" s="37"/>
      <c r="J173" s="81"/>
      <c r="K173" s="81"/>
      <c r="L173" s="81"/>
      <c r="M173" s="81"/>
      <c r="N173" s="81"/>
      <c r="O173" s="81"/>
      <c r="P173" s="81"/>
      <c r="Q173" s="81"/>
      <c r="R173" s="81"/>
      <c r="S173" s="81"/>
      <c r="T173" s="81"/>
      <c r="U173" s="81"/>
      <c r="V173" s="81"/>
      <c r="W173" s="81"/>
      <c r="X173" s="81"/>
      <c r="Y173" s="81"/>
    </row>
    <row r="174" spans="3:25" x14ac:dyDescent="0.35">
      <c r="C174" s="88"/>
      <c r="D174"/>
      <c r="J174" s="89"/>
      <c r="K174" s="89"/>
      <c r="L174" s="89"/>
      <c r="M174" s="89"/>
      <c r="N174" s="89"/>
      <c r="O174" s="89"/>
      <c r="P174" s="89"/>
      <c r="Q174" s="89"/>
      <c r="R174" s="89"/>
      <c r="S174" s="89"/>
      <c r="T174" s="89"/>
      <c r="U174" s="89"/>
      <c r="V174" s="89"/>
      <c r="W174" s="89"/>
      <c r="X174" s="89"/>
      <c r="Y174" s="89"/>
    </row>
    <row r="175" spans="3:25" x14ac:dyDescent="0.35">
      <c r="C175" s="88"/>
      <c r="E175" s="32" t="s">
        <v>622</v>
      </c>
      <c r="J175" s="89"/>
      <c r="K175" s="89"/>
      <c r="L175" s="89"/>
      <c r="M175" s="89"/>
      <c r="N175" s="89"/>
      <c r="O175" s="89"/>
      <c r="P175" s="89"/>
      <c r="Q175" s="89"/>
      <c r="R175" s="89"/>
      <c r="S175" s="89"/>
      <c r="T175" s="89"/>
      <c r="U175" s="89"/>
      <c r="V175" s="89"/>
      <c r="W175" s="89"/>
      <c r="X175" s="89"/>
      <c r="Y175" s="89"/>
    </row>
    <row r="176" spans="3:25" x14ac:dyDescent="0.35">
      <c r="C176" s="88"/>
      <c r="F176" s="23" t="s">
        <v>189</v>
      </c>
      <c r="G176" s="23" t="s">
        <v>271</v>
      </c>
      <c r="H176" s="23"/>
      <c r="I176" s="23"/>
      <c r="J176" s="153">
        <f t="shared" ref="J176:K176" si="104">hundred*J94*$H65*J80/$H37/days_in_year/(1+$H23)*PowerFactor</f>
        <v>0</v>
      </c>
      <c r="K176" s="153">
        <f t="shared" si="104"/>
        <v>0</v>
      </c>
      <c r="L176" s="153">
        <f t="shared" ref="L176:M176" si="105">hundred*L94*$H65*L80/$H37/days_in_year/(1+$H23)*PowerFactor</f>
        <v>0</v>
      </c>
      <c r="M176" s="153">
        <f t="shared" si="105"/>
        <v>0</v>
      </c>
      <c r="N176" s="153">
        <f t="shared" ref="N176:P176" si="106">hundred*N94*$H65*N80/$H37/days_in_year/(1+$H23)*PowerFactor</f>
        <v>0</v>
      </c>
      <c r="O176" s="153">
        <f t="shared" si="106"/>
        <v>0</v>
      </c>
      <c r="P176" s="153">
        <f t="shared" si="106"/>
        <v>0</v>
      </c>
      <c r="Q176" s="153">
        <f t="shared" ref="Q176" si="107">hundred*Q94*$H65*Q80/$H37/days_in_year/(1+$H23)*PowerFactor</f>
        <v>0</v>
      </c>
      <c r="R176" s="83"/>
      <c r="S176" s="83"/>
      <c r="T176" s="83"/>
      <c r="U176" s="83"/>
      <c r="V176" s="83"/>
      <c r="W176" s="83"/>
      <c r="X176" s="83"/>
      <c r="Y176" s="83"/>
    </row>
    <row r="177" spans="3:27" x14ac:dyDescent="0.35">
      <c r="C177" s="88"/>
      <c r="F177" t="s">
        <v>191</v>
      </c>
      <c r="G177" t="s">
        <v>271</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35">
      <c r="C178" s="88"/>
      <c r="F178" t="s">
        <v>192</v>
      </c>
      <c r="G178" t="s">
        <v>271</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35">
      <c r="C179" s="88"/>
      <c r="F179" t="s">
        <v>193</v>
      </c>
      <c r="G179" t="s">
        <v>271</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35">
      <c r="C180" s="88"/>
      <c r="F180" t="s">
        <v>194</v>
      </c>
      <c r="G180" t="s">
        <v>271</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0.37365888210426196</v>
      </c>
      <c r="Q180" s="98">
        <f t="shared" ref="Q180" si="123">hundred*Q97*$H69*Q84/$H41/days_in_year/(1+$H27)*PowerFactor</f>
        <v>0</v>
      </c>
      <c r="R180" s="79"/>
      <c r="S180" s="79"/>
      <c r="T180" s="79"/>
      <c r="U180" s="79"/>
      <c r="V180" s="79"/>
      <c r="W180" s="79"/>
      <c r="X180" s="79"/>
      <c r="Y180" s="79"/>
    </row>
    <row r="181" spans="3:27" x14ac:dyDescent="0.35">
      <c r="C181" s="88"/>
      <c r="F181" t="s">
        <v>195</v>
      </c>
      <c r="G181" t="s">
        <v>271</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1.6904258798661538</v>
      </c>
      <c r="Q181" s="98">
        <f t="shared" ref="Q181" si="127">hundred*Q98*$H70*Q85/$H42/days_in_year/(1+$H28)*PowerFactor</f>
        <v>0</v>
      </c>
      <c r="R181" s="79"/>
      <c r="S181" s="79"/>
      <c r="T181" s="79"/>
      <c r="U181" s="79"/>
      <c r="V181" s="79"/>
      <c r="W181" s="79"/>
      <c r="X181" s="79"/>
      <c r="Y181" s="79"/>
    </row>
    <row r="182" spans="3:27" x14ac:dyDescent="0.35">
      <c r="C182" s="88"/>
      <c r="F182" t="s">
        <v>196</v>
      </c>
      <c r="G182" t="s">
        <v>271</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35">
      <c r="C183" s="88"/>
      <c r="F183" t="s">
        <v>197</v>
      </c>
      <c r="G183" t="s">
        <v>271</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0.91904455531959772</v>
      </c>
      <c r="O183" s="98">
        <f t="shared" si="134"/>
        <v>4.4363342729485584</v>
      </c>
      <c r="P183" s="98">
        <f t="shared" si="134"/>
        <v>4.3359836390647084</v>
      </c>
      <c r="Q183" s="98">
        <f t="shared" ref="Q183" si="135">hundred*Q100*$H72*Q87/$H44/days_in_year/(1+$H30)*PowerFactor</f>
        <v>0</v>
      </c>
      <c r="R183" s="79"/>
      <c r="S183" s="79"/>
      <c r="T183" s="79"/>
      <c r="U183" s="79"/>
      <c r="V183" s="79"/>
      <c r="W183" s="79"/>
      <c r="X183" s="79"/>
      <c r="Y183" s="79"/>
    </row>
    <row r="184" spans="3:27" x14ac:dyDescent="0.35">
      <c r="C184" s="88"/>
      <c r="F184" t="s">
        <v>198</v>
      </c>
      <c r="G184" t="s">
        <v>271</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1.1127403925633468</v>
      </c>
      <c r="O184" s="98">
        <f t="shared" si="138"/>
        <v>1.0742652925475074</v>
      </c>
      <c r="P184" s="98">
        <f t="shared" si="138"/>
        <v>0</v>
      </c>
      <c r="Q184" s="98">
        <f t="shared" ref="Q184" si="139">hundred*Q101*$H73*Q88/$H45/days_in_year/(1+$H31)*PowerFactor</f>
        <v>0</v>
      </c>
      <c r="R184" s="79"/>
      <c r="S184" s="79"/>
      <c r="T184" s="79"/>
      <c r="U184" s="79"/>
      <c r="V184" s="79"/>
      <c r="W184" s="79"/>
      <c r="X184" s="79"/>
      <c r="Y184" s="79"/>
    </row>
    <row r="185" spans="3:27" x14ac:dyDescent="0.35">
      <c r="C185" s="88"/>
      <c r="F185" t="s">
        <v>199</v>
      </c>
      <c r="G185" t="s">
        <v>271</v>
      </c>
      <c r="J185" s="98">
        <f t="shared" ref="J185:K185" si="140">hundred*J102*$H74*J89/$H46/days_in_year/(1+$H32)*PowerFactor</f>
        <v>2.4595528548041394</v>
      </c>
      <c r="K185" s="98">
        <f t="shared" si="140"/>
        <v>2.4595528548041394</v>
      </c>
      <c r="L185" s="98">
        <f t="shared" ref="L185:M185" si="141">hundred*L102*$H74*L89/$H46/days_in_year/(1+$H32)*PowerFactor</f>
        <v>2.4595528548041394</v>
      </c>
      <c r="M185" s="98">
        <f t="shared" si="141"/>
        <v>2.4595528548041394</v>
      </c>
      <c r="N185" s="98">
        <f t="shared" ref="N185:P185" si="142">hundred*N102*$H74*N89/$H46/days_in_year/(1+$H32)*PowerFactor</f>
        <v>2.4595528548041394</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35">
      <c r="C186" s="88"/>
      <c r="F186" t="s">
        <v>376</v>
      </c>
      <c r="G186" t="s">
        <v>271</v>
      </c>
      <c r="J186" s="79"/>
      <c r="K186" s="79"/>
      <c r="L186" s="79"/>
      <c r="M186" s="79"/>
      <c r="N186" s="79"/>
      <c r="O186" s="79"/>
      <c r="P186" s="79"/>
      <c r="Q186" s="79"/>
      <c r="R186" s="79"/>
      <c r="S186" s="79"/>
      <c r="T186" s="79"/>
      <c r="U186" s="79"/>
      <c r="V186" s="79"/>
      <c r="W186" s="79"/>
      <c r="X186" s="79"/>
      <c r="Y186" s="79"/>
    </row>
    <row r="187" spans="3:27" x14ac:dyDescent="0.35">
      <c r="C187" s="88"/>
      <c r="F187" s="37" t="s">
        <v>377</v>
      </c>
      <c r="G187" s="37" t="s">
        <v>271</v>
      </c>
      <c r="H187" s="37"/>
      <c r="I187" s="37"/>
      <c r="J187" s="81"/>
      <c r="K187" s="81"/>
      <c r="L187" s="81"/>
      <c r="M187" s="81"/>
      <c r="N187" s="81"/>
      <c r="O187" s="81"/>
      <c r="P187" s="81"/>
      <c r="Q187" s="81"/>
      <c r="R187" s="81"/>
      <c r="S187" s="81"/>
      <c r="T187" s="81"/>
      <c r="U187" s="81"/>
      <c r="V187" s="81"/>
      <c r="W187" s="81"/>
      <c r="X187" s="81"/>
      <c r="Y187" s="81"/>
    </row>
    <row r="188" spans="3:27" x14ac:dyDescent="0.35">
      <c r="C188" s="88"/>
      <c r="J188" s="89"/>
      <c r="K188" s="89"/>
      <c r="L188" s="89"/>
      <c r="M188" s="89"/>
      <c r="N188" s="89"/>
      <c r="O188" s="89"/>
      <c r="P188" s="89"/>
      <c r="Q188" s="89"/>
      <c r="R188" s="89"/>
      <c r="S188" s="89"/>
      <c r="T188" s="89"/>
      <c r="U188" s="89"/>
      <c r="V188" s="89"/>
      <c r="W188" s="89"/>
      <c r="X188" s="89"/>
      <c r="Y188" s="89"/>
    </row>
    <row r="189" spans="3:27" x14ac:dyDescent="0.35">
      <c r="C189" s="31" t="str">
        <f ca="1">INDEX('Version control'!$H$34:$H$57,MATCH($A$1,'Version control'!$F$34:$F$57,0),1)&amp;"-D: Capacity charges for eligible customers, by network level"</f>
        <v>Section 112-D: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35">
      <c r="D190" s="32"/>
      <c r="E190" s="32"/>
      <c r="I190" t="s">
        <v>154</v>
      </c>
      <c r="J190" s="89"/>
      <c r="K190" s="89"/>
      <c r="L190" s="89"/>
      <c r="M190" s="89"/>
      <c r="N190" s="89"/>
      <c r="O190" s="89"/>
      <c r="P190" s="89"/>
      <c r="Q190" s="89"/>
      <c r="R190" s="89"/>
      <c r="S190" s="89"/>
      <c r="T190" s="89"/>
      <c r="U190" s="89"/>
      <c r="V190" s="89"/>
      <c r="W190" s="89"/>
      <c r="X190" s="89"/>
      <c r="Y190" s="89"/>
      <c r="AA190" t="s">
        <v>705</v>
      </c>
    </row>
    <row r="191" spans="3:27" x14ac:dyDescent="0.35">
      <c r="C191" s="88"/>
      <c r="D191"/>
      <c r="E191" s="32" t="s">
        <v>621</v>
      </c>
      <c r="J191" s="89"/>
      <c r="K191" s="89"/>
      <c r="L191" s="89"/>
      <c r="M191" s="89"/>
      <c r="N191" s="89"/>
      <c r="O191" s="89"/>
      <c r="P191" s="89"/>
      <c r="Q191" s="89"/>
      <c r="R191" s="89"/>
      <c r="S191" s="89"/>
      <c r="T191" s="89"/>
      <c r="U191" s="89"/>
      <c r="V191" s="89"/>
      <c r="W191" s="89"/>
      <c r="X191" s="89"/>
      <c r="Y191" s="89"/>
    </row>
    <row r="192" spans="3:27" x14ac:dyDescent="0.35">
      <c r="C192" s="88"/>
      <c r="D192"/>
      <c r="F192" s="23" t="s">
        <v>189</v>
      </c>
      <c r="G192" s="23" t="s">
        <v>271</v>
      </c>
      <c r="H192" s="23"/>
      <c r="I192" s="23"/>
      <c r="J192" s="83"/>
      <c r="K192" s="83"/>
      <c r="L192" s="83"/>
      <c r="M192" s="83"/>
      <c r="N192" s="83"/>
      <c r="O192" s="83"/>
      <c r="P192" s="83"/>
      <c r="Q192" s="83"/>
      <c r="R192" s="83"/>
      <c r="S192" s="83"/>
      <c r="T192" s="83"/>
      <c r="U192" s="83"/>
      <c r="V192" s="83"/>
      <c r="W192" s="83"/>
      <c r="X192" s="83"/>
      <c r="Y192" s="83"/>
    </row>
    <row r="193" spans="3:25" x14ac:dyDescent="0.35">
      <c r="C193" s="88"/>
      <c r="D193"/>
      <c r="F193" t="s">
        <v>191</v>
      </c>
      <c r="G193" t="s">
        <v>271</v>
      </c>
      <c r="J193" s="79"/>
      <c r="K193" s="79"/>
      <c r="L193" s="79"/>
      <c r="M193" s="79"/>
      <c r="N193" s="79"/>
      <c r="O193" s="79"/>
      <c r="P193" s="79"/>
      <c r="Q193" s="79"/>
      <c r="R193" s="79"/>
      <c r="S193" s="79"/>
      <c r="T193" s="79"/>
      <c r="U193" s="79"/>
      <c r="V193" s="79"/>
      <c r="W193" s="79"/>
      <c r="X193" s="79"/>
      <c r="Y193" s="79"/>
    </row>
    <row r="194" spans="3:25" x14ac:dyDescent="0.35">
      <c r="C194" s="88"/>
      <c r="D194"/>
      <c r="F194" t="s">
        <v>192</v>
      </c>
      <c r="G194" t="s">
        <v>271</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35">
      <c r="C195" s="88"/>
      <c r="D195"/>
      <c r="F195" t="s">
        <v>193</v>
      </c>
      <c r="G195" t="s">
        <v>271</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35">
      <c r="C196" s="88"/>
      <c r="D196"/>
      <c r="F196" t="s">
        <v>194</v>
      </c>
      <c r="G196" t="s">
        <v>271</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0.41367934253055577</v>
      </c>
      <c r="Q196" s="98">
        <f t="shared" ref="Q196" si="155">Q$121 * Q136</f>
        <v>0</v>
      </c>
      <c r="R196" s="79"/>
      <c r="S196" s="79"/>
      <c r="T196" s="79"/>
      <c r="U196" s="79"/>
      <c r="V196" s="79"/>
      <c r="W196" s="79"/>
      <c r="X196" s="79"/>
      <c r="Y196" s="79"/>
    </row>
    <row r="197" spans="3:25" x14ac:dyDescent="0.35">
      <c r="C197" s="88"/>
      <c r="D197"/>
      <c r="F197" t="s">
        <v>195</v>
      </c>
      <c r="G197" t="s">
        <v>271</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1.8793004963784097</v>
      </c>
      <c r="Q197" s="98">
        <f t="shared" ref="Q197" si="159">Q$121 * Q137</f>
        <v>0</v>
      </c>
      <c r="R197" s="79"/>
      <c r="S197" s="79"/>
      <c r="T197" s="79"/>
      <c r="U197" s="79"/>
      <c r="V197" s="79"/>
      <c r="W197" s="79"/>
      <c r="X197" s="79"/>
      <c r="Y197" s="79"/>
    </row>
    <row r="198" spans="3:25" x14ac:dyDescent="0.35">
      <c r="C198" s="88"/>
      <c r="D198"/>
      <c r="F198" t="s">
        <v>196</v>
      </c>
      <c r="G198" t="s">
        <v>271</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35">
      <c r="C199" s="88"/>
      <c r="D199"/>
      <c r="F199" t="s">
        <v>197</v>
      </c>
      <c r="G199" t="s">
        <v>271</v>
      </c>
      <c r="J199" s="98">
        <f t="shared" ref="J199:K199" si="164">J$121 * J139</f>
        <v>0</v>
      </c>
      <c r="K199" s="98">
        <f t="shared" si="164"/>
        <v>0</v>
      </c>
      <c r="L199" s="98">
        <f t="shared" ref="L199:M199" si="165">L$121 * L139</f>
        <v>0</v>
      </c>
      <c r="M199" s="98">
        <f t="shared" si="165"/>
        <v>0</v>
      </c>
      <c r="N199" s="98">
        <f t="shared" ref="N199:P199" si="166">N$121 * N139</f>
        <v>0.59174436342575909</v>
      </c>
      <c r="O199" s="98">
        <f t="shared" si="166"/>
        <v>2.8564184239978627</v>
      </c>
      <c r="P199" s="98">
        <f t="shared" si="166"/>
        <v>2.9679035294975309</v>
      </c>
      <c r="Q199" s="98">
        <f t="shared" ref="Q199" si="167">Q$121 * Q139</f>
        <v>0</v>
      </c>
      <c r="R199" s="79"/>
      <c r="S199" s="79"/>
      <c r="T199" s="79"/>
      <c r="U199" s="79"/>
      <c r="V199" s="79"/>
      <c r="W199" s="79"/>
      <c r="X199" s="79"/>
      <c r="Y199" s="79"/>
    </row>
    <row r="200" spans="3:25" x14ac:dyDescent="0.35">
      <c r="C200" s="88"/>
      <c r="D200"/>
      <c r="F200" t="s">
        <v>198</v>
      </c>
      <c r="G200" t="s">
        <v>271</v>
      </c>
      <c r="J200" s="98">
        <f t="shared" ref="J200:K200" si="168">J$121 * J140</f>
        <v>0</v>
      </c>
      <c r="K200" s="98">
        <f t="shared" si="168"/>
        <v>0</v>
      </c>
      <c r="L200" s="98">
        <f t="shared" ref="L200:M200" si="169">L$121 * L140</f>
        <v>0</v>
      </c>
      <c r="M200" s="98">
        <f t="shared" si="169"/>
        <v>0</v>
      </c>
      <c r="N200" s="98">
        <f t="shared" ref="N200:P200" si="170">N$121 * N140</f>
        <v>0.27097848514900452</v>
      </c>
      <c r="O200" s="98">
        <f t="shared" si="170"/>
        <v>0.26160889239589968</v>
      </c>
      <c r="P200" s="98">
        <f t="shared" si="170"/>
        <v>0</v>
      </c>
      <c r="Q200" s="98">
        <f t="shared" ref="Q200" si="171">Q$121 * Q140</f>
        <v>0</v>
      </c>
      <c r="R200" s="79"/>
      <c r="S200" s="79"/>
      <c r="T200" s="79"/>
      <c r="U200" s="79"/>
      <c r="V200" s="79"/>
      <c r="W200" s="79"/>
      <c r="X200" s="79"/>
      <c r="Y200" s="79"/>
    </row>
    <row r="201" spans="3:25" x14ac:dyDescent="0.35">
      <c r="C201" s="88"/>
      <c r="D201"/>
      <c r="F201" t="s">
        <v>199</v>
      </c>
      <c r="G201" t="s">
        <v>271</v>
      </c>
      <c r="J201" s="98">
        <f t="shared" ref="J201:K201" si="172">J$121 * J141</f>
        <v>0</v>
      </c>
      <c r="K201" s="98">
        <f t="shared" si="172"/>
        <v>0</v>
      </c>
      <c r="L201" s="98">
        <f t="shared" ref="L201:M201" si="173">L$121 * L141</f>
        <v>0</v>
      </c>
      <c r="M201" s="98">
        <f t="shared" si="173"/>
        <v>0</v>
      </c>
      <c r="N201" s="98">
        <f t="shared" ref="N201:P201" si="174">N$121 * N141</f>
        <v>9.1632129837615817E-2</v>
      </c>
      <c r="O201" s="98">
        <f t="shared" si="174"/>
        <v>0</v>
      </c>
      <c r="P201" s="98">
        <f t="shared" si="174"/>
        <v>0</v>
      </c>
      <c r="Q201" s="98">
        <f t="shared" ref="Q201" si="175">Q$121 * Q141</f>
        <v>0</v>
      </c>
      <c r="R201" s="79"/>
      <c r="S201" s="79"/>
      <c r="T201" s="79"/>
      <c r="U201" s="79"/>
      <c r="V201" s="79"/>
      <c r="W201" s="79"/>
      <c r="X201" s="79"/>
      <c r="Y201" s="79"/>
    </row>
    <row r="202" spans="3:25" x14ac:dyDescent="0.35">
      <c r="C202" s="88"/>
      <c r="D202"/>
      <c r="F202" t="s">
        <v>376</v>
      </c>
      <c r="G202" t="s">
        <v>271</v>
      </c>
      <c r="J202" s="79"/>
      <c r="K202" s="79"/>
      <c r="L202" s="79"/>
      <c r="M202" s="79"/>
      <c r="N202" s="79"/>
      <c r="O202" s="79"/>
      <c r="P202" s="79"/>
      <c r="Q202" s="79"/>
      <c r="R202" s="79"/>
      <c r="S202" s="79"/>
      <c r="T202" s="79"/>
      <c r="U202" s="79"/>
      <c r="V202" s="79"/>
      <c r="W202" s="79"/>
      <c r="X202" s="79"/>
      <c r="Y202" s="79"/>
    </row>
    <row r="203" spans="3:25" x14ac:dyDescent="0.35">
      <c r="C203" s="88"/>
      <c r="D203"/>
      <c r="F203" s="37" t="s">
        <v>377</v>
      </c>
      <c r="G203" s="37" t="s">
        <v>271</v>
      </c>
      <c r="H203" s="37"/>
      <c r="I203" s="37"/>
      <c r="J203" s="81"/>
      <c r="K203" s="81"/>
      <c r="L203" s="81"/>
      <c r="M203" s="81"/>
      <c r="N203" s="81"/>
      <c r="O203" s="81"/>
      <c r="P203" s="81"/>
      <c r="Q203" s="81"/>
      <c r="R203" s="81"/>
      <c r="S203" s="81"/>
      <c r="T203" s="81"/>
      <c r="U203" s="81"/>
      <c r="V203" s="81"/>
      <c r="W203" s="81"/>
      <c r="X203" s="81"/>
      <c r="Y203" s="81"/>
    </row>
    <row r="204" spans="3:25" x14ac:dyDescent="0.35">
      <c r="C204" s="88"/>
      <c r="D204"/>
      <c r="J204" s="89"/>
      <c r="K204" s="89"/>
      <c r="L204" s="89"/>
      <c r="M204" s="89"/>
      <c r="N204" s="89"/>
      <c r="O204" s="89"/>
      <c r="P204" s="89"/>
      <c r="Q204" s="89"/>
      <c r="R204" s="89"/>
      <c r="S204" s="89"/>
      <c r="T204" s="89"/>
      <c r="U204" s="89"/>
      <c r="V204" s="89"/>
      <c r="W204" s="89"/>
      <c r="X204" s="89"/>
      <c r="Y204" s="89"/>
    </row>
    <row r="205" spans="3:25" x14ac:dyDescent="0.35">
      <c r="C205" s="88"/>
      <c r="D205"/>
      <c r="E205" s="32" t="s">
        <v>622</v>
      </c>
      <c r="J205" s="89"/>
      <c r="K205" s="89"/>
      <c r="L205" s="89"/>
      <c r="M205" s="89"/>
      <c r="N205" s="89"/>
      <c r="O205" s="89"/>
      <c r="P205" s="89"/>
      <c r="Q205" s="89"/>
      <c r="R205" s="89"/>
      <c r="S205" s="89"/>
      <c r="T205" s="89"/>
      <c r="U205" s="89"/>
      <c r="V205" s="89"/>
      <c r="W205" s="89"/>
      <c r="X205" s="89"/>
      <c r="Y205" s="89"/>
    </row>
    <row r="206" spans="3:25" x14ac:dyDescent="0.35">
      <c r="C206" s="88"/>
      <c r="D206"/>
      <c r="F206" s="23" t="s">
        <v>189</v>
      </c>
      <c r="G206" s="23" t="s">
        <v>271</v>
      </c>
      <c r="H206" s="23"/>
      <c r="I206" s="23"/>
      <c r="J206" s="153">
        <f t="shared" ref="J206:K206" si="176">J$121 * J146</f>
        <v>0</v>
      </c>
      <c r="K206" s="153">
        <f t="shared" si="176"/>
        <v>0</v>
      </c>
      <c r="L206" s="153">
        <f t="shared" ref="L206:M206" si="177">L$121 * L146</f>
        <v>0</v>
      </c>
      <c r="M206" s="153">
        <f t="shared" si="177"/>
        <v>0</v>
      </c>
      <c r="N206" s="153">
        <f t="shared" ref="N206:P206" si="178">N$121 * N146</f>
        <v>0</v>
      </c>
      <c r="O206" s="153">
        <f t="shared" si="178"/>
        <v>0</v>
      </c>
      <c r="P206" s="153">
        <f t="shared" si="178"/>
        <v>0</v>
      </c>
      <c r="Q206" s="153">
        <f t="shared" ref="Q206" si="179">Q$121 * Q146</f>
        <v>0</v>
      </c>
      <c r="R206" s="83"/>
      <c r="S206" s="83"/>
      <c r="T206" s="83"/>
      <c r="U206" s="83"/>
      <c r="V206" s="83"/>
      <c r="W206" s="83"/>
      <c r="X206" s="83"/>
      <c r="Y206" s="83"/>
    </row>
    <row r="207" spans="3:25" x14ac:dyDescent="0.35">
      <c r="C207" s="88"/>
      <c r="D207"/>
      <c r="F207" t="s">
        <v>191</v>
      </c>
      <c r="G207" t="s">
        <v>271</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35">
      <c r="C208" s="88"/>
      <c r="D208"/>
      <c r="F208" t="s">
        <v>192</v>
      </c>
      <c r="G208" t="s">
        <v>271</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35">
      <c r="C209" s="88"/>
      <c r="D209"/>
      <c r="F209" t="s">
        <v>193</v>
      </c>
      <c r="G209" t="s">
        <v>271</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35">
      <c r="C210" s="88"/>
      <c r="D210"/>
      <c r="F210" t="s">
        <v>194</v>
      </c>
      <c r="G210" t="s">
        <v>271</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0.37365888210426196</v>
      </c>
      <c r="Q210" s="98">
        <f t="shared" ref="Q210" si="195">Q$121 * Q150</f>
        <v>0</v>
      </c>
      <c r="R210" s="79"/>
      <c r="S210" s="79"/>
      <c r="T210" s="79"/>
      <c r="U210" s="79"/>
      <c r="V210" s="79"/>
      <c r="W210" s="79"/>
      <c r="X210" s="79"/>
      <c r="Y210" s="79"/>
    </row>
    <row r="211" spans="3:27" x14ac:dyDescent="0.35">
      <c r="C211" s="88"/>
      <c r="D211"/>
      <c r="F211" t="s">
        <v>195</v>
      </c>
      <c r="G211" t="s">
        <v>271</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1.6904258798661538</v>
      </c>
      <c r="Q211" s="98">
        <f t="shared" ref="Q211" si="199">Q$121 * Q151</f>
        <v>0</v>
      </c>
      <c r="R211" s="79"/>
      <c r="S211" s="79"/>
      <c r="T211" s="79"/>
      <c r="U211" s="79"/>
      <c r="V211" s="79"/>
      <c r="W211" s="79"/>
      <c r="X211" s="79"/>
      <c r="Y211" s="79"/>
    </row>
    <row r="212" spans="3:27" x14ac:dyDescent="0.35">
      <c r="C212" s="88"/>
      <c r="D212"/>
      <c r="F212" t="s">
        <v>196</v>
      </c>
      <c r="G212" t="s">
        <v>271</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35">
      <c r="C213" s="88"/>
      <c r="D213"/>
      <c r="F213" t="s">
        <v>197</v>
      </c>
      <c r="G213" t="s">
        <v>271</v>
      </c>
      <c r="J213" s="98">
        <f t="shared" ref="J213:K213" si="204">J$121 * J153</f>
        <v>0</v>
      </c>
      <c r="K213" s="98">
        <f t="shared" si="204"/>
        <v>0</v>
      </c>
      <c r="L213" s="98">
        <f t="shared" ref="L213:M213" si="205">L$121 * L153</f>
        <v>0</v>
      </c>
      <c r="M213" s="98">
        <f t="shared" si="205"/>
        <v>0</v>
      </c>
      <c r="N213" s="98">
        <f t="shared" ref="N213:P213" si="206">N$121 * N153</f>
        <v>0.91904455531959772</v>
      </c>
      <c r="O213" s="98">
        <f t="shared" si="206"/>
        <v>4.4363342729485584</v>
      </c>
      <c r="P213" s="98">
        <f t="shared" si="206"/>
        <v>4.3359836390647084</v>
      </c>
      <c r="Q213" s="98">
        <f t="shared" ref="Q213" si="207">Q$121 * Q153</f>
        <v>0</v>
      </c>
      <c r="R213" s="79"/>
      <c r="S213" s="79"/>
      <c r="T213" s="79"/>
      <c r="U213" s="79"/>
      <c r="V213" s="79"/>
      <c r="W213" s="79"/>
      <c r="X213" s="79"/>
      <c r="Y213" s="79"/>
    </row>
    <row r="214" spans="3:27" x14ac:dyDescent="0.35">
      <c r="C214" s="88"/>
      <c r="D214"/>
      <c r="F214" t="s">
        <v>198</v>
      </c>
      <c r="G214" t="s">
        <v>271</v>
      </c>
      <c r="J214" s="98">
        <f t="shared" ref="J214:K214" si="208">J$121 * J154</f>
        <v>0</v>
      </c>
      <c r="K214" s="98">
        <f t="shared" si="208"/>
        <v>0</v>
      </c>
      <c r="L214" s="98">
        <f t="shared" ref="L214:M214" si="209">L$121 * L154</f>
        <v>0</v>
      </c>
      <c r="M214" s="98">
        <f t="shared" si="209"/>
        <v>0</v>
      </c>
      <c r="N214" s="98">
        <f t="shared" ref="N214:P214" si="210">N$121 * N154</f>
        <v>1.1127403925633468</v>
      </c>
      <c r="O214" s="98">
        <f t="shared" si="210"/>
        <v>1.0742652925475074</v>
      </c>
      <c r="P214" s="98">
        <f t="shared" si="210"/>
        <v>0</v>
      </c>
      <c r="Q214" s="98">
        <f t="shared" ref="Q214" si="211">Q$121 * Q154</f>
        <v>0</v>
      </c>
      <c r="R214" s="79"/>
      <c r="S214" s="79"/>
      <c r="T214" s="79"/>
      <c r="U214" s="79"/>
      <c r="V214" s="79"/>
      <c r="W214" s="79"/>
      <c r="X214" s="79"/>
      <c r="Y214" s="79"/>
    </row>
    <row r="215" spans="3:27" x14ac:dyDescent="0.35">
      <c r="C215" s="88"/>
      <c r="D215"/>
      <c r="F215" t="s">
        <v>199</v>
      </c>
      <c r="G215" t="s">
        <v>271</v>
      </c>
      <c r="J215" s="98">
        <f t="shared" ref="J215:K215" si="212">J$121 * J155</f>
        <v>0</v>
      </c>
      <c r="K215" s="98">
        <f t="shared" si="212"/>
        <v>0</v>
      </c>
      <c r="L215" s="98">
        <f t="shared" ref="L215:M215" si="213">L$121 * L155</f>
        <v>0</v>
      </c>
      <c r="M215" s="98">
        <f t="shared" si="213"/>
        <v>0</v>
      </c>
      <c r="N215" s="98">
        <f t="shared" ref="N215:P215" si="214">N$121 * N155</f>
        <v>2.4595528548041394</v>
      </c>
      <c r="O215" s="98">
        <f t="shared" si="214"/>
        <v>0</v>
      </c>
      <c r="P215" s="98">
        <f t="shared" si="214"/>
        <v>0</v>
      </c>
      <c r="Q215" s="98">
        <f t="shared" ref="Q215" si="215">Q$121 * Q155</f>
        <v>0</v>
      </c>
      <c r="R215" s="79"/>
      <c r="S215" s="79"/>
      <c r="T215" s="79"/>
      <c r="U215" s="79"/>
      <c r="V215" s="79"/>
      <c r="W215" s="79"/>
      <c r="X215" s="79"/>
      <c r="Y215" s="79"/>
    </row>
    <row r="216" spans="3:27" x14ac:dyDescent="0.35">
      <c r="C216" s="88"/>
      <c r="D216"/>
      <c r="F216" t="s">
        <v>376</v>
      </c>
      <c r="G216" t="s">
        <v>271</v>
      </c>
      <c r="J216" s="79"/>
      <c r="K216" s="79"/>
      <c r="L216" s="79"/>
      <c r="M216" s="79"/>
      <c r="N216" s="79"/>
      <c r="O216" s="79"/>
      <c r="P216" s="79"/>
      <c r="Q216" s="79"/>
      <c r="R216" s="79"/>
      <c r="S216" s="79"/>
      <c r="T216" s="79"/>
      <c r="U216" s="79"/>
      <c r="V216" s="79"/>
      <c r="W216" s="79"/>
      <c r="X216" s="79"/>
      <c r="Y216" s="79"/>
    </row>
    <row r="217" spans="3:27" x14ac:dyDescent="0.35">
      <c r="C217" s="88"/>
      <c r="D217"/>
      <c r="F217" s="37" t="s">
        <v>377</v>
      </c>
      <c r="G217" s="37" t="s">
        <v>271</v>
      </c>
      <c r="H217" s="37"/>
      <c r="I217" s="37"/>
      <c r="J217" s="81"/>
      <c r="K217" s="81"/>
      <c r="L217" s="81"/>
      <c r="M217" s="81"/>
      <c r="N217" s="81"/>
      <c r="O217" s="81"/>
      <c r="P217" s="81"/>
      <c r="Q217" s="81"/>
      <c r="R217" s="81"/>
      <c r="S217" s="81"/>
      <c r="T217" s="81"/>
      <c r="U217" s="81"/>
      <c r="V217" s="81"/>
      <c r="W217" s="81"/>
      <c r="X217" s="81"/>
      <c r="Y217" s="81"/>
    </row>
    <row r="218" spans="3:27" x14ac:dyDescent="0.35">
      <c r="C218" s="88"/>
      <c r="J218" s="89"/>
      <c r="K218" s="89"/>
      <c r="L218" s="89"/>
      <c r="M218" s="89"/>
      <c r="N218" s="89"/>
      <c r="O218" s="89"/>
      <c r="P218" s="89"/>
      <c r="Q218" s="89"/>
      <c r="R218" s="89"/>
      <c r="S218" s="89"/>
      <c r="T218" s="89"/>
      <c r="U218" s="89"/>
      <c r="V218" s="89"/>
      <c r="W218" s="89"/>
      <c r="X218" s="89"/>
      <c r="Y218" s="89"/>
    </row>
    <row r="219" spans="3:27" x14ac:dyDescent="0.35">
      <c r="C219" s="31" t="str">
        <f ca="1">INDEX('Version control'!$H$34:$H$57,MATCH($A$1,'Version control'!$F$34:$F$57,0),1)&amp;"-E: Exceeded capacity charges for eligible customers, by network level"</f>
        <v>Section 112-E: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35">
      <c r="D220" s="32"/>
      <c r="E220" s="32"/>
      <c r="I220" t="s">
        <v>154</v>
      </c>
      <c r="J220" s="89"/>
      <c r="K220" s="89"/>
      <c r="L220" s="89"/>
      <c r="M220" s="89"/>
      <c r="N220" s="89"/>
      <c r="O220" s="89"/>
      <c r="P220" s="89"/>
      <c r="Q220" s="89"/>
      <c r="R220" s="89"/>
      <c r="S220" s="89"/>
      <c r="T220" s="89"/>
      <c r="U220" s="89"/>
      <c r="V220" s="89"/>
      <c r="W220" s="89"/>
      <c r="X220" s="89"/>
      <c r="Y220" s="89"/>
      <c r="AA220" t="s">
        <v>706</v>
      </c>
    </row>
    <row r="221" spans="3:27" x14ac:dyDescent="0.35">
      <c r="C221" s="88"/>
      <c r="D221"/>
      <c r="E221" s="32" t="s">
        <v>621</v>
      </c>
      <c r="J221" s="89"/>
      <c r="K221" s="89"/>
      <c r="L221" s="89"/>
      <c r="M221" s="89"/>
      <c r="N221" s="89"/>
      <c r="O221" s="89"/>
      <c r="P221" s="89"/>
      <c r="Q221" s="89"/>
      <c r="R221" s="89"/>
      <c r="S221" s="89"/>
      <c r="T221" s="89"/>
      <c r="U221" s="89"/>
      <c r="V221" s="89"/>
      <c r="W221" s="89"/>
      <c r="X221" s="89"/>
      <c r="Y221" s="89"/>
    </row>
    <row r="222" spans="3:27" x14ac:dyDescent="0.35">
      <c r="C222" s="88"/>
      <c r="D222"/>
      <c r="F222" s="23" t="s">
        <v>189</v>
      </c>
      <c r="G222" s="23" t="s">
        <v>271</v>
      </c>
      <c r="H222" s="23"/>
      <c r="I222" s="23"/>
      <c r="J222" s="83"/>
      <c r="K222" s="83"/>
      <c r="L222" s="83"/>
      <c r="M222" s="83"/>
      <c r="N222" s="83"/>
      <c r="O222" s="83"/>
      <c r="P222" s="83"/>
      <c r="Q222" s="83"/>
      <c r="R222" s="83"/>
      <c r="S222" s="83"/>
      <c r="T222" s="83"/>
      <c r="U222" s="83"/>
      <c r="V222" s="83"/>
      <c r="W222" s="83"/>
      <c r="X222" s="83"/>
      <c r="Y222" s="83"/>
    </row>
    <row r="223" spans="3:27" x14ac:dyDescent="0.35">
      <c r="C223" s="88"/>
      <c r="D223"/>
      <c r="F223" t="s">
        <v>191</v>
      </c>
      <c r="G223" t="s">
        <v>271</v>
      </c>
      <c r="J223" s="79"/>
      <c r="K223" s="79"/>
      <c r="L223" s="79"/>
      <c r="M223" s="79"/>
      <c r="N223" s="79"/>
      <c r="O223" s="79"/>
      <c r="P223" s="79"/>
      <c r="Q223" s="79"/>
      <c r="R223" s="79"/>
      <c r="S223" s="79"/>
      <c r="T223" s="79"/>
      <c r="U223" s="79"/>
      <c r="V223" s="79"/>
      <c r="W223" s="79"/>
      <c r="X223" s="79"/>
      <c r="Y223" s="79"/>
    </row>
    <row r="224" spans="3:27" x14ac:dyDescent="0.35">
      <c r="C224" s="88"/>
      <c r="D224"/>
      <c r="F224" t="s">
        <v>192</v>
      </c>
      <c r="G224" t="s">
        <v>271</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35">
      <c r="C225" s="88"/>
      <c r="D225"/>
      <c r="F225" t="s">
        <v>193</v>
      </c>
      <c r="G225" t="s">
        <v>271</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35">
      <c r="C226" s="88"/>
      <c r="D226"/>
      <c r="F226" t="s">
        <v>194</v>
      </c>
      <c r="G226" t="s">
        <v>271</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0.41857578385235805</v>
      </c>
      <c r="Q226" s="98">
        <f t="shared" ref="Q226" si="227">Q$122 * Q166</f>
        <v>0</v>
      </c>
      <c r="R226" s="79"/>
      <c r="S226" s="79"/>
      <c r="T226" s="79"/>
      <c r="U226" s="79"/>
      <c r="V226" s="79"/>
      <c r="W226" s="79"/>
      <c r="X226" s="79"/>
      <c r="Y226" s="79"/>
    </row>
    <row r="227" spans="3:25" x14ac:dyDescent="0.35">
      <c r="C227" s="88"/>
      <c r="D227"/>
      <c r="F227" t="s">
        <v>195</v>
      </c>
      <c r="G227" t="s">
        <v>271</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1.8936291136038197</v>
      </c>
      <c r="Q227" s="98">
        <f t="shared" ref="Q227" si="231">Q$122 * Q167</f>
        <v>0</v>
      </c>
      <c r="R227" s="79"/>
      <c r="S227" s="79"/>
      <c r="T227" s="79"/>
      <c r="U227" s="79"/>
      <c r="V227" s="79"/>
      <c r="W227" s="79"/>
      <c r="X227" s="79"/>
      <c r="Y227" s="79"/>
    </row>
    <row r="228" spans="3:25" x14ac:dyDescent="0.35">
      <c r="C228" s="88"/>
      <c r="D228"/>
      <c r="F228" t="s">
        <v>196</v>
      </c>
      <c r="G228" t="s">
        <v>271</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35">
      <c r="C229" s="88"/>
      <c r="D229"/>
      <c r="F229" t="s">
        <v>197</v>
      </c>
      <c r="G229" t="s">
        <v>271</v>
      </c>
      <c r="J229" s="98">
        <f t="shared" ref="J229:K229" si="236">J$122 * J169</f>
        <v>0</v>
      </c>
      <c r="K229" s="98">
        <f t="shared" si="236"/>
        <v>0</v>
      </c>
      <c r="L229" s="98">
        <f t="shared" ref="L229:M229" si="237">L$122 * L169</f>
        <v>0</v>
      </c>
      <c r="M229" s="98">
        <f t="shared" si="237"/>
        <v>0</v>
      </c>
      <c r="N229" s="98">
        <f t="shared" ref="N229:P229" si="238">N$122 * N169</f>
        <v>1.0295213457037606</v>
      </c>
      <c r="O229" s="98">
        <f t="shared" si="238"/>
        <v>4.9696185067865777</v>
      </c>
      <c r="P229" s="98">
        <f t="shared" si="238"/>
        <v>4.8572048930609624</v>
      </c>
      <c r="Q229" s="98">
        <f t="shared" ref="Q229" si="239">Q$122 * Q169</f>
        <v>0</v>
      </c>
      <c r="R229" s="79"/>
      <c r="S229" s="79"/>
      <c r="T229" s="79"/>
      <c r="U229" s="79"/>
      <c r="V229" s="79"/>
      <c r="W229" s="79"/>
      <c r="X229" s="79"/>
      <c r="Y229" s="79"/>
    </row>
    <row r="230" spans="3:25" x14ac:dyDescent="0.35">
      <c r="C230" s="88"/>
      <c r="D230"/>
      <c r="F230" t="s">
        <v>198</v>
      </c>
      <c r="G230" t="s">
        <v>271</v>
      </c>
      <c r="J230" s="98">
        <f t="shared" ref="J230:K230" si="240">J$122 * J170</f>
        <v>0</v>
      </c>
      <c r="K230" s="98">
        <f t="shared" si="240"/>
        <v>0</v>
      </c>
      <c r="L230" s="98">
        <f t="shared" ref="L230:M230" si="241">L$122 * L170</f>
        <v>0</v>
      </c>
      <c r="M230" s="98">
        <f t="shared" si="241"/>
        <v>0</v>
      </c>
      <c r="N230" s="98">
        <f t="shared" ref="N230:P230" si="242">N$122 * N170</f>
        <v>1.246501031685421</v>
      </c>
      <c r="O230" s="98">
        <f t="shared" si="242"/>
        <v>1.2034009050211389</v>
      </c>
      <c r="P230" s="98">
        <f t="shared" si="242"/>
        <v>0</v>
      </c>
      <c r="Q230" s="98">
        <f t="shared" ref="Q230" si="243">Q$122 * Q170</f>
        <v>0</v>
      </c>
      <c r="R230" s="79"/>
      <c r="S230" s="79"/>
      <c r="T230" s="79"/>
      <c r="U230" s="79"/>
      <c r="V230" s="79"/>
      <c r="W230" s="79"/>
      <c r="X230" s="79"/>
      <c r="Y230" s="79"/>
    </row>
    <row r="231" spans="3:25" x14ac:dyDescent="0.35">
      <c r="C231" s="88"/>
      <c r="D231"/>
      <c r="F231" t="s">
        <v>199</v>
      </c>
      <c r="G231" t="s">
        <v>271</v>
      </c>
      <c r="J231" s="98">
        <f t="shared" ref="J231:K231" si="244">J$122 * J171</f>
        <v>0</v>
      </c>
      <c r="K231" s="98">
        <f t="shared" si="244"/>
        <v>0</v>
      </c>
      <c r="L231" s="98">
        <f t="shared" ref="L231:M231" si="245">L$122 * L171</f>
        <v>0</v>
      </c>
      <c r="M231" s="98">
        <f t="shared" si="245"/>
        <v>0</v>
      </c>
      <c r="N231" s="98">
        <f t="shared" ref="N231:P231" si="246">N$122 * N171</f>
        <v>2.7552115403446615</v>
      </c>
      <c r="O231" s="98">
        <f t="shared" si="246"/>
        <v>0</v>
      </c>
      <c r="P231" s="98">
        <f t="shared" si="246"/>
        <v>0</v>
      </c>
      <c r="Q231" s="98">
        <f t="shared" ref="Q231" si="247">Q$122 * Q171</f>
        <v>0</v>
      </c>
      <c r="R231" s="79"/>
      <c r="S231" s="79"/>
      <c r="T231" s="79"/>
      <c r="U231" s="79"/>
      <c r="V231" s="79"/>
      <c r="W231" s="79"/>
      <c r="X231" s="79"/>
      <c r="Y231" s="79"/>
    </row>
    <row r="232" spans="3:25" x14ac:dyDescent="0.35">
      <c r="C232" s="88"/>
      <c r="D232"/>
      <c r="F232" t="s">
        <v>376</v>
      </c>
      <c r="G232" t="s">
        <v>271</v>
      </c>
      <c r="J232" s="79"/>
      <c r="K232" s="79"/>
      <c r="L232" s="79"/>
      <c r="M232" s="79"/>
      <c r="N232" s="79"/>
      <c r="O232" s="79"/>
      <c r="P232" s="79"/>
      <c r="Q232" s="79"/>
      <c r="R232" s="79"/>
      <c r="S232" s="79"/>
      <c r="T232" s="79"/>
      <c r="U232" s="79"/>
      <c r="V232" s="79"/>
      <c r="W232" s="79"/>
      <c r="X232" s="79"/>
      <c r="Y232" s="79"/>
    </row>
    <row r="233" spans="3:25" x14ac:dyDescent="0.35">
      <c r="C233" s="88"/>
      <c r="D233"/>
      <c r="F233" s="37" t="s">
        <v>377</v>
      </c>
      <c r="G233" s="37" t="s">
        <v>271</v>
      </c>
      <c r="H233" s="37"/>
      <c r="I233" s="37"/>
      <c r="J233" s="81"/>
      <c r="K233" s="81"/>
      <c r="L233" s="81"/>
      <c r="M233" s="81"/>
      <c r="N233" s="81"/>
      <c r="O233" s="81"/>
      <c r="P233" s="81"/>
      <c r="Q233" s="81"/>
      <c r="R233" s="81"/>
      <c r="S233" s="81"/>
      <c r="T233" s="81"/>
      <c r="U233" s="81"/>
      <c r="V233" s="81"/>
      <c r="W233" s="81"/>
      <c r="X233" s="81"/>
      <c r="Y233" s="81"/>
    </row>
    <row r="234" spans="3:25" x14ac:dyDescent="0.35">
      <c r="C234" s="88"/>
      <c r="D234"/>
      <c r="J234" s="89"/>
      <c r="K234" s="89"/>
      <c r="L234" s="89"/>
      <c r="M234" s="89"/>
      <c r="N234" s="89"/>
      <c r="O234" s="89"/>
      <c r="P234" s="89"/>
      <c r="Q234" s="89"/>
      <c r="R234" s="89"/>
      <c r="S234" s="89"/>
      <c r="T234" s="89"/>
      <c r="U234" s="89"/>
      <c r="V234" s="89"/>
      <c r="W234" s="89"/>
      <c r="X234" s="89"/>
      <c r="Y234" s="89"/>
    </row>
    <row r="235" spans="3:25" x14ac:dyDescent="0.35">
      <c r="C235" s="88"/>
      <c r="D235"/>
      <c r="E235" s="32" t="s">
        <v>622</v>
      </c>
      <c r="J235" s="89"/>
      <c r="K235" s="89"/>
      <c r="L235" s="89"/>
      <c r="M235" s="89"/>
      <c r="N235" s="89"/>
      <c r="O235" s="89"/>
      <c r="P235" s="89"/>
      <c r="Q235" s="89"/>
      <c r="R235" s="89"/>
      <c r="S235" s="89"/>
      <c r="T235" s="89"/>
      <c r="U235" s="89"/>
      <c r="V235" s="89"/>
      <c r="W235" s="89"/>
      <c r="X235" s="89"/>
      <c r="Y235" s="89"/>
    </row>
    <row r="236" spans="3:25" x14ac:dyDescent="0.35">
      <c r="C236" s="88"/>
      <c r="D236"/>
      <c r="F236" s="23" t="s">
        <v>189</v>
      </c>
      <c r="G236" s="23" t="s">
        <v>271</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35">
      <c r="C237" s="88"/>
      <c r="D237"/>
      <c r="F237" t="s">
        <v>191</v>
      </c>
      <c r="G237" t="s">
        <v>271</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35">
      <c r="C238" s="88"/>
      <c r="D238"/>
      <c r="F238" t="s">
        <v>192</v>
      </c>
      <c r="G238" t="s">
        <v>271</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35">
      <c r="C239" s="88"/>
      <c r="D239"/>
      <c r="F239" t="s">
        <v>193</v>
      </c>
      <c r="G239" t="s">
        <v>271</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35">
      <c r="C240" s="88"/>
      <c r="D240"/>
      <c r="F240" t="s">
        <v>194</v>
      </c>
      <c r="G240" t="s">
        <v>271</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0.37365888210426196</v>
      </c>
      <c r="Q240" s="98">
        <f t="shared" ref="Q240" si="267">Q$122 * Q180</f>
        <v>0</v>
      </c>
      <c r="R240" s="79"/>
      <c r="S240" s="79"/>
      <c r="T240" s="79"/>
      <c r="U240" s="79"/>
      <c r="V240" s="79"/>
      <c r="W240" s="79"/>
      <c r="X240" s="79"/>
      <c r="Y240" s="79"/>
    </row>
    <row r="241" spans="2:27" x14ac:dyDescent="0.35">
      <c r="C241" s="88"/>
      <c r="D241"/>
      <c r="F241" t="s">
        <v>195</v>
      </c>
      <c r="G241" t="s">
        <v>271</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1.6904258798661538</v>
      </c>
      <c r="Q241" s="98">
        <f t="shared" ref="Q241" si="271">Q$122 * Q181</f>
        <v>0</v>
      </c>
      <c r="R241" s="79"/>
      <c r="S241" s="79"/>
      <c r="T241" s="79"/>
      <c r="U241" s="79"/>
      <c r="V241" s="79"/>
      <c r="W241" s="79"/>
      <c r="X241" s="79"/>
      <c r="Y241" s="79"/>
    </row>
    <row r="242" spans="2:27" x14ac:dyDescent="0.35">
      <c r="C242" s="88"/>
      <c r="D242"/>
      <c r="F242" t="s">
        <v>196</v>
      </c>
      <c r="G242" t="s">
        <v>271</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35">
      <c r="C243" s="88"/>
      <c r="D243"/>
      <c r="F243" t="s">
        <v>197</v>
      </c>
      <c r="G243" t="s">
        <v>271</v>
      </c>
      <c r="J243" s="98">
        <f t="shared" ref="J243:K243" si="276">J$122 * J183</f>
        <v>0</v>
      </c>
      <c r="K243" s="98">
        <f t="shared" si="276"/>
        <v>0</v>
      </c>
      <c r="L243" s="98">
        <f t="shared" ref="L243:M243" si="277">L$122 * L183</f>
        <v>0</v>
      </c>
      <c r="M243" s="98">
        <f t="shared" si="277"/>
        <v>0</v>
      </c>
      <c r="N243" s="98">
        <f t="shared" ref="N243:P243" si="278">N$122 * N183</f>
        <v>0.91904455531959772</v>
      </c>
      <c r="O243" s="98">
        <f t="shared" si="278"/>
        <v>4.4363342729485584</v>
      </c>
      <c r="P243" s="98">
        <f t="shared" si="278"/>
        <v>4.3359836390647084</v>
      </c>
      <c r="Q243" s="98">
        <f t="shared" ref="Q243" si="279">Q$122 * Q183</f>
        <v>0</v>
      </c>
      <c r="R243" s="79"/>
      <c r="S243" s="79"/>
      <c r="T243" s="79"/>
      <c r="U243" s="79"/>
      <c r="V243" s="79"/>
      <c r="W243" s="79"/>
      <c r="X243" s="79"/>
      <c r="Y243" s="79"/>
    </row>
    <row r="244" spans="2:27" x14ac:dyDescent="0.35">
      <c r="C244" s="88"/>
      <c r="D244"/>
      <c r="F244" t="s">
        <v>198</v>
      </c>
      <c r="G244" t="s">
        <v>271</v>
      </c>
      <c r="J244" s="98">
        <f t="shared" ref="J244:K244" si="280">J$122 * J184</f>
        <v>0</v>
      </c>
      <c r="K244" s="98">
        <f t="shared" si="280"/>
        <v>0</v>
      </c>
      <c r="L244" s="98">
        <f t="shared" ref="L244:M244" si="281">L$122 * L184</f>
        <v>0</v>
      </c>
      <c r="M244" s="98">
        <f t="shared" si="281"/>
        <v>0</v>
      </c>
      <c r="N244" s="98">
        <f t="shared" ref="N244:P244" si="282">N$122 * N184</f>
        <v>1.1127403925633468</v>
      </c>
      <c r="O244" s="98">
        <f t="shared" si="282"/>
        <v>1.0742652925475074</v>
      </c>
      <c r="P244" s="98">
        <f t="shared" si="282"/>
        <v>0</v>
      </c>
      <c r="Q244" s="98">
        <f t="shared" ref="Q244" si="283">Q$122 * Q184</f>
        <v>0</v>
      </c>
      <c r="R244" s="79"/>
      <c r="S244" s="79"/>
      <c r="T244" s="79"/>
      <c r="U244" s="79"/>
      <c r="V244" s="79"/>
      <c r="W244" s="79"/>
      <c r="X244" s="79"/>
      <c r="Y244" s="79"/>
    </row>
    <row r="245" spans="2:27" x14ac:dyDescent="0.35">
      <c r="C245" s="88"/>
      <c r="D245"/>
      <c r="F245" t="s">
        <v>199</v>
      </c>
      <c r="G245" t="s">
        <v>271</v>
      </c>
      <c r="J245" s="98">
        <f t="shared" ref="J245:K245" si="284">J$122 * J185</f>
        <v>0</v>
      </c>
      <c r="K245" s="98">
        <f t="shared" si="284"/>
        <v>0</v>
      </c>
      <c r="L245" s="98">
        <f t="shared" ref="L245:M245" si="285">L$122 * L185</f>
        <v>0</v>
      </c>
      <c r="M245" s="98">
        <f t="shared" si="285"/>
        <v>0</v>
      </c>
      <c r="N245" s="98">
        <f t="shared" ref="N245:P245" si="286">N$122 * N185</f>
        <v>2.4595528548041394</v>
      </c>
      <c r="O245" s="98">
        <f t="shared" si="286"/>
        <v>0</v>
      </c>
      <c r="P245" s="98">
        <f t="shared" si="286"/>
        <v>0</v>
      </c>
      <c r="Q245" s="98">
        <f t="shared" ref="Q245" si="287">Q$122 * Q185</f>
        <v>0</v>
      </c>
      <c r="R245" s="79"/>
      <c r="S245" s="79"/>
      <c r="T245" s="79"/>
      <c r="U245" s="79"/>
      <c r="V245" s="79"/>
      <c r="W245" s="79"/>
      <c r="X245" s="79"/>
      <c r="Y245" s="79"/>
    </row>
    <row r="246" spans="2:27" x14ac:dyDescent="0.35">
      <c r="C246" s="88"/>
      <c r="D246"/>
      <c r="F246" t="s">
        <v>376</v>
      </c>
      <c r="G246" t="s">
        <v>271</v>
      </c>
      <c r="J246" s="79"/>
      <c r="K246" s="79"/>
      <c r="L246" s="79"/>
      <c r="M246" s="79"/>
      <c r="N246" s="79"/>
      <c r="O246" s="79"/>
      <c r="P246" s="79"/>
      <c r="Q246" s="79"/>
      <c r="R246" s="79"/>
      <c r="S246" s="79"/>
      <c r="T246" s="79"/>
      <c r="U246" s="79"/>
      <c r="V246" s="79"/>
      <c r="W246" s="79"/>
      <c r="X246" s="79"/>
      <c r="Y246" s="79"/>
    </row>
    <row r="247" spans="2:27" x14ac:dyDescent="0.35">
      <c r="C247" s="88"/>
      <c r="D247"/>
      <c r="F247" s="37" t="s">
        <v>377</v>
      </c>
      <c r="G247" s="37" t="s">
        <v>271</v>
      </c>
      <c r="H247" s="37"/>
      <c r="I247" s="37"/>
      <c r="J247" s="81"/>
      <c r="K247" s="81"/>
      <c r="L247" s="81"/>
      <c r="M247" s="81"/>
      <c r="N247" s="81"/>
      <c r="O247" s="81"/>
      <c r="P247" s="81"/>
      <c r="Q247" s="81"/>
      <c r="R247" s="81"/>
      <c r="S247" s="81"/>
      <c r="T247" s="81"/>
      <c r="U247" s="81"/>
      <c r="V247" s="81"/>
      <c r="W247" s="81"/>
      <c r="X247" s="81"/>
      <c r="Y247" s="81"/>
    </row>
    <row r="248" spans="2:27" x14ac:dyDescent="0.35">
      <c r="C248" s="88"/>
      <c r="J248" s="89"/>
      <c r="K248" s="89"/>
      <c r="L248" s="89"/>
      <c r="M248" s="89"/>
      <c r="N248" s="89"/>
      <c r="O248" s="89"/>
      <c r="P248" s="89"/>
      <c r="Q248" s="89"/>
      <c r="R248" s="89"/>
      <c r="S248" s="89"/>
      <c r="T248" s="89"/>
      <c r="U248" s="89"/>
      <c r="V248" s="89"/>
      <c r="W248" s="89"/>
      <c r="X248" s="89"/>
      <c r="Y248" s="89"/>
    </row>
    <row r="249" spans="2:27" x14ac:dyDescent="0.35">
      <c r="B249" s="30" t="s">
        <v>707</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35">
      <c r="J250" s="89"/>
      <c r="K250" s="89"/>
      <c r="L250" s="89"/>
      <c r="M250" s="89"/>
      <c r="N250" s="89"/>
      <c r="O250" s="89"/>
      <c r="P250" s="89"/>
      <c r="Q250" s="89"/>
      <c r="R250" s="89"/>
      <c r="S250" s="89"/>
      <c r="T250" s="89"/>
      <c r="U250" s="89"/>
      <c r="V250" s="89"/>
      <c r="W250" s="89"/>
      <c r="X250" s="89"/>
      <c r="Y250" s="89"/>
    </row>
    <row r="251" spans="2:27" x14ac:dyDescent="0.35">
      <c r="B251" s="203"/>
      <c r="C251" s="29" t="s">
        <v>708</v>
      </c>
      <c r="D251"/>
      <c r="E251"/>
      <c r="J251" s="89"/>
      <c r="K251" s="89"/>
      <c r="L251" s="89"/>
      <c r="M251" s="89"/>
      <c r="N251" s="89"/>
      <c r="O251" s="89"/>
      <c r="P251" s="89"/>
      <c r="Q251" s="89"/>
      <c r="R251" s="89"/>
      <c r="S251" s="89"/>
      <c r="T251" s="89"/>
      <c r="U251" s="89"/>
      <c r="V251" s="89"/>
      <c r="W251" s="89"/>
      <c r="X251" s="89"/>
      <c r="Y251" s="89"/>
    </row>
    <row r="252" spans="2:27" x14ac:dyDescent="0.35">
      <c r="B252" s="203"/>
      <c r="C252" s="29" t="s">
        <v>709</v>
      </c>
      <c r="D252"/>
      <c r="E252"/>
      <c r="J252" s="89"/>
      <c r="K252" s="89"/>
      <c r="L252" s="89"/>
      <c r="M252" s="89"/>
      <c r="N252" s="89"/>
      <c r="O252" s="89"/>
      <c r="P252" s="89"/>
      <c r="Q252" s="89"/>
      <c r="R252" s="89"/>
      <c r="S252" s="89"/>
      <c r="T252" s="89"/>
      <c r="U252" s="89"/>
      <c r="V252" s="89"/>
      <c r="W252" s="89"/>
      <c r="X252" s="89"/>
      <c r="Y252" s="89"/>
    </row>
    <row r="253" spans="2:27" x14ac:dyDescent="0.35">
      <c r="J253" s="89"/>
      <c r="K253" s="89"/>
      <c r="L253" s="89"/>
      <c r="M253" s="89"/>
      <c r="N253" s="89"/>
      <c r="O253" s="89"/>
      <c r="P253" s="89"/>
      <c r="Q253" s="89"/>
      <c r="R253" s="89"/>
      <c r="S253" s="89"/>
      <c r="T253" s="89"/>
      <c r="U253" s="89"/>
      <c r="V253" s="89"/>
      <c r="W253" s="89"/>
      <c r="X253" s="89"/>
      <c r="Y253" s="89"/>
    </row>
    <row r="254" spans="2:27" x14ac:dyDescent="0.35">
      <c r="C254" s="31" t="str">
        <f ca="1">INDEX('Version control'!$H$34:$H$57,MATCH($A$1,'Version control'!$F$34:$F$57,0),1)&amp;"-F: Capacity and exceeded capacity charges"</f>
        <v>Section 112-F: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35">
      <c r="J255" s="89"/>
      <c r="K255" s="89"/>
      <c r="L255" s="89"/>
      <c r="M255" s="89"/>
      <c r="N255" s="89"/>
      <c r="O255" s="89"/>
      <c r="P255" s="89"/>
      <c r="Q255" s="89"/>
      <c r="R255" s="89"/>
      <c r="S255" s="89"/>
      <c r="T255" s="89"/>
      <c r="U255" s="89"/>
      <c r="V255" s="89"/>
      <c r="W255" s="89"/>
      <c r="X255" s="89"/>
      <c r="Y255" s="89"/>
    </row>
    <row r="256" spans="2:27" x14ac:dyDescent="0.35">
      <c r="E256" t="s">
        <v>710</v>
      </c>
      <c r="G256" t="s">
        <v>271</v>
      </c>
      <c r="I256" t="s">
        <v>154</v>
      </c>
      <c r="J256" s="131">
        <f t="shared" ref="J256:K256" si="288">SUM(J192:J203,J206:J217)</f>
        <v>0</v>
      </c>
      <c r="K256" s="131">
        <f t="shared" si="288"/>
        <v>0</v>
      </c>
      <c r="L256" s="131">
        <f t="shared" ref="L256:M256" si="289">SUM(L192:L203,L206:L217)</f>
        <v>0</v>
      </c>
      <c r="M256" s="131">
        <f t="shared" si="289"/>
        <v>0</v>
      </c>
      <c r="N256" s="131">
        <f t="shared" ref="N256:P256" si="290">SUM(N192:N203,N206:N217)</f>
        <v>5.4456927810994635</v>
      </c>
      <c r="O256" s="131">
        <f t="shared" si="290"/>
        <v>8.6286268818898275</v>
      </c>
      <c r="P256" s="131">
        <f t="shared" si="290"/>
        <v>11.66095176944162</v>
      </c>
      <c r="Q256" s="131">
        <f t="shared" ref="Q256" si="291">SUM(Q192:Q203,Q206:Q217)</f>
        <v>0</v>
      </c>
      <c r="R256" s="79"/>
      <c r="S256" s="79"/>
      <c r="T256" s="79"/>
      <c r="U256" s="79"/>
      <c r="V256" s="79"/>
      <c r="W256" s="79"/>
      <c r="X256" s="79"/>
      <c r="Y256" s="79"/>
      <c r="AA256" t="s">
        <v>711</v>
      </c>
    </row>
    <row r="257" spans="3:27" x14ac:dyDescent="0.35">
      <c r="E257" t="s">
        <v>712</v>
      </c>
      <c r="G257" t="s">
        <v>271</v>
      </c>
      <c r="I257" t="s">
        <v>154</v>
      </c>
      <c r="J257" s="121">
        <f t="shared" ref="J257:K257" si="292">SUM(J222:J233,J236:J247)</f>
        <v>0</v>
      </c>
      <c r="K257" s="121">
        <f t="shared" si="292"/>
        <v>0</v>
      </c>
      <c r="L257" s="121">
        <f t="shared" ref="L257:M257" si="293">SUM(L222:L233,L236:L247)</f>
        <v>0</v>
      </c>
      <c r="M257" s="121">
        <f t="shared" si="293"/>
        <v>0</v>
      </c>
      <c r="N257" s="121">
        <f t="shared" ref="N257:P257" si="294">SUM(N222:N233,N236:N247)</f>
        <v>9.5225717204209275</v>
      </c>
      <c r="O257" s="121">
        <f t="shared" si="294"/>
        <v>11.683618977303782</v>
      </c>
      <c r="P257" s="121">
        <f t="shared" si="294"/>
        <v>13.569478191552264</v>
      </c>
      <c r="Q257" s="121">
        <f t="shared" ref="Q257" si="295">SUM(Q222:Q233,Q236:Q247)</f>
        <v>0</v>
      </c>
      <c r="R257" s="79"/>
      <c r="S257" s="79"/>
      <c r="T257" s="79"/>
      <c r="U257" s="79"/>
      <c r="V257" s="79"/>
      <c r="W257" s="79"/>
      <c r="X257" s="79"/>
      <c r="Y257" s="79"/>
      <c r="AA257" t="s">
        <v>711</v>
      </c>
    </row>
    <row r="258" spans="3:27" x14ac:dyDescent="0.35">
      <c r="C258" s="88"/>
      <c r="J258" s="89"/>
      <c r="K258" s="89"/>
      <c r="L258" s="89"/>
      <c r="M258" s="89"/>
      <c r="N258" s="89"/>
      <c r="O258" s="89"/>
      <c r="P258" s="89"/>
      <c r="Q258" s="89"/>
      <c r="R258" s="89"/>
      <c r="S258" s="89"/>
      <c r="T258" s="89"/>
      <c r="U258" s="89"/>
      <c r="V258" s="89"/>
      <c r="W258" s="89"/>
      <c r="X258" s="89"/>
      <c r="Y258" s="89"/>
    </row>
    <row r="259" spans="3:27" x14ac:dyDescent="0.35">
      <c r="C259" s="31" t="str">
        <f ca="1">INDEX('Version control'!$H$34:$H$57,MATCH($A$1,'Version control'!$F$34:$F$57,0),1)&amp;"-G: Capacity elements allocated to fixed charges"</f>
        <v>Section 112-G: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35">
      <c r="D260" s="32"/>
      <c r="E260" s="32"/>
      <c r="I260" t="s">
        <v>154</v>
      </c>
      <c r="J260" s="89"/>
      <c r="K260" s="89"/>
      <c r="L260" s="89"/>
      <c r="M260" s="89"/>
      <c r="N260" s="89"/>
      <c r="O260" s="89"/>
      <c r="P260" s="89"/>
      <c r="Q260" s="89"/>
      <c r="R260" s="89"/>
      <c r="S260" s="89"/>
      <c r="T260" s="89"/>
      <c r="U260" s="89"/>
      <c r="V260" s="89"/>
      <c r="W260" s="89"/>
      <c r="X260" s="89"/>
      <c r="Y260" s="89"/>
      <c r="AA260" t="s">
        <v>713</v>
      </c>
    </row>
    <row r="261" spans="3:27" x14ac:dyDescent="0.35">
      <c r="C261" s="88"/>
      <c r="D261"/>
      <c r="E261" s="32" t="s">
        <v>621</v>
      </c>
      <c r="J261" s="89"/>
      <c r="K261" s="89"/>
      <c r="L261" s="89"/>
      <c r="M261" s="89"/>
      <c r="N261" s="89"/>
      <c r="O261" s="89"/>
      <c r="P261" s="89"/>
      <c r="Q261" s="89"/>
      <c r="R261" s="89"/>
      <c r="S261" s="89"/>
      <c r="T261" s="89"/>
      <c r="U261" s="89"/>
      <c r="V261" s="89"/>
      <c r="W261" s="89"/>
      <c r="X261" s="89"/>
      <c r="Y261" s="89"/>
    </row>
    <row r="262" spans="3:27" x14ac:dyDescent="0.35">
      <c r="C262" s="88"/>
      <c r="D262"/>
      <c r="F262" s="23" t="s">
        <v>189</v>
      </c>
      <c r="G262" s="23" t="s">
        <v>271</v>
      </c>
      <c r="H262" s="23"/>
      <c r="I262" s="23"/>
      <c r="J262" s="83"/>
      <c r="K262" s="83"/>
      <c r="L262" s="83"/>
      <c r="M262" s="83"/>
      <c r="N262" s="83"/>
      <c r="O262" s="83"/>
      <c r="P262" s="83"/>
      <c r="Q262" s="83"/>
      <c r="R262" s="83"/>
      <c r="S262" s="83"/>
      <c r="T262" s="83"/>
      <c r="U262" s="83"/>
      <c r="V262" s="83"/>
      <c r="W262" s="83"/>
      <c r="X262" s="83"/>
      <c r="Y262" s="83"/>
    </row>
    <row r="263" spans="3:27" x14ac:dyDescent="0.35">
      <c r="C263" s="88"/>
      <c r="D263"/>
      <c r="F263" t="s">
        <v>191</v>
      </c>
      <c r="G263" t="s">
        <v>271</v>
      </c>
      <c r="J263" s="79"/>
      <c r="K263" s="79"/>
      <c r="L263" s="79"/>
      <c r="M263" s="79"/>
      <c r="N263" s="79"/>
      <c r="O263" s="79"/>
      <c r="P263" s="79"/>
      <c r="Q263" s="79"/>
      <c r="R263" s="79"/>
      <c r="S263" s="79"/>
      <c r="T263" s="79"/>
      <c r="U263" s="79"/>
      <c r="V263" s="79"/>
      <c r="W263" s="79"/>
      <c r="X263" s="79"/>
      <c r="Y263" s="79"/>
    </row>
    <row r="264" spans="3:27" x14ac:dyDescent="0.35">
      <c r="C264" s="88"/>
      <c r="D264"/>
      <c r="F264" t="s">
        <v>192</v>
      </c>
      <c r="G264" t="s">
        <v>271</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35">
      <c r="C265" s="88"/>
      <c r="D265"/>
      <c r="F265" t="s">
        <v>193</v>
      </c>
      <c r="G265" t="s">
        <v>271</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35">
      <c r="C266" s="88"/>
      <c r="D266"/>
      <c r="F266" t="s">
        <v>194</v>
      </c>
      <c r="G266" t="s">
        <v>271</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35">
      <c r="C267" s="88"/>
      <c r="D267"/>
      <c r="F267" t="s">
        <v>195</v>
      </c>
      <c r="G267" t="s">
        <v>271</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35">
      <c r="C268" s="88"/>
      <c r="D268"/>
      <c r="F268" t="s">
        <v>196</v>
      </c>
      <c r="G268" t="s">
        <v>271</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35">
      <c r="C269" s="88"/>
      <c r="D269"/>
      <c r="F269" t="s">
        <v>197</v>
      </c>
      <c r="G269" t="s">
        <v>271</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35">
      <c r="C270" s="88"/>
      <c r="D270"/>
      <c r="F270" t="s">
        <v>198</v>
      </c>
      <c r="G270" t="s">
        <v>271</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35">
      <c r="C271" s="88"/>
      <c r="D271"/>
      <c r="F271" t="s">
        <v>199</v>
      </c>
      <c r="G271" t="s">
        <v>271</v>
      </c>
      <c r="J271" s="121">
        <f t="shared" ref="J271:K271" si="324">J$123 * J141</f>
        <v>9.1632129837615817E-2</v>
      </c>
      <c r="K271" s="121">
        <f t="shared" si="324"/>
        <v>0</v>
      </c>
      <c r="L271" s="121">
        <f t="shared" ref="L271:M271" si="325">L$123 * L141</f>
        <v>9.1632129837615817E-2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35">
      <c r="C272" s="88"/>
      <c r="D272"/>
      <c r="F272" t="s">
        <v>376</v>
      </c>
      <c r="G272" t="s">
        <v>271</v>
      </c>
      <c r="J272" s="79"/>
      <c r="K272" s="79"/>
      <c r="L272" s="79"/>
      <c r="M272" s="79"/>
      <c r="N272" s="79"/>
      <c r="O272" s="79"/>
      <c r="P272" s="79"/>
      <c r="Q272" s="79"/>
      <c r="R272" s="79"/>
      <c r="S272" s="79"/>
      <c r="T272" s="79"/>
      <c r="U272" s="79"/>
      <c r="V272" s="79"/>
      <c r="W272" s="79"/>
      <c r="X272" s="79"/>
      <c r="Y272" s="79"/>
    </row>
    <row r="273" spans="3:25" x14ac:dyDescent="0.35">
      <c r="C273" s="88"/>
      <c r="D273"/>
      <c r="F273" s="37" t="s">
        <v>377</v>
      </c>
      <c r="G273" s="37" t="s">
        <v>271</v>
      </c>
      <c r="H273" s="37"/>
      <c r="I273" s="37"/>
      <c r="J273" s="81"/>
      <c r="K273" s="81"/>
      <c r="L273" s="81"/>
      <c r="M273" s="81"/>
      <c r="N273" s="81"/>
      <c r="O273" s="81"/>
      <c r="P273" s="81"/>
      <c r="Q273" s="81"/>
      <c r="R273" s="81"/>
      <c r="S273" s="81"/>
      <c r="T273" s="81"/>
      <c r="U273" s="81"/>
      <c r="V273" s="81"/>
      <c r="W273" s="81"/>
      <c r="X273" s="81"/>
      <c r="Y273" s="81"/>
    </row>
    <row r="274" spans="3:25" x14ac:dyDescent="0.35">
      <c r="C274" s="88"/>
      <c r="D274"/>
      <c r="J274" s="89"/>
      <c r="K274" s="89"/>
      <c r="L274" s="89"/>
      <c r="M274" s="89"/>
      <c r="N274" s="89"/>
      <c r="O274" s="89"/>
      <c r="P274" s="89"/>
      <c r="Q274" s="89"/>
      <c r="R274" s="89"/>
      <c r="S274" s="89"/>
      <c r="T274" s="89"/>
      <c r="U274" s="89"/>
      <c r="V274" s="89"/>
      <c r="W274" s="89"/>
      <c r="X274" s="89"/>
      <c r="Y274" s="89"/>
    </row>
    <row r="275" spans="3:25" x14ac:dyDescent="0.35">
      <c r="C275" s="88"/>
      <c r="D275"/>
      <c r="E275" s="32" t="s">
        <v>714</v>
      </c>
      <c r="J275" s="89"/>
      <c r="K275" s="89"/>
      <c r="L275" s="89"/>
      <c r="M275" s="89"/>
      <c r="N275" s="89"/>
      <c r="O275" s="89"/>
      <c r="P275" s="89"/>
      <c r="Q275" s="89"/>
      <c r="R275" s="89"/>
      <c r="S275" s="89"/>
      <c r="T275" s="89"/>
      <c r="U275" s="89"/>
      <c r="V275" s="89"/>
      <c r="W275" s="89"/>
      <c r="X275" s="89"/>
      <c r="Y275" s="89"/>
    </row>
    <row r="276" spans="3:25" x14ac:dyDescent="0.35">
      <c r="C276" s="88"/>
      <c r="D276"/>
      <c r="F276" s="23" t="s">
        <v>189</v>
      </c>
      <c r="G276" s="23" t="s">
        <v>271</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35">
      <c r="C277" s="88"/>
      <c r="D277"/>
      <c r="F277" t="s">
        <v>191</v>
      </c>
      <c r="G277" t="s">
        <v>271</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35">
      <c r="C278" s="88"/>
      <c r="D278"/>
      <c r="F278" t="s">
        <v>192</v>
      </c>
      <c r="G278" t="s">
        <v>271</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35">
      <c r="C279" s="88"/>
      <c r="D279"/>
      <c r="F279" t="s">
        <v>193</v>
      </c>
      <c r="G279" t="s">
        <v>271</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35">
      <c r="C280" s="88"/>
      <c r="D280"/>
      <c r="F280" t="s">
        <v>194</v>
      </c>
      <c r="G280" t="s">
        <v>271</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35">
      <c r="C281" s="88"/>
      <c r="D281"/>
      <c r="F281" t="s">
        <v>195</v>
      </c>
      <c r="G281" t="s">
        <v>271</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35">
      <c r="C282" s="88"/>
      <c r="D282"/>
      <c r="F282" t="s">
        <v>196</v>
      </c>
      <c r="G282" t="s">
        <v>271</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35">
      <c r="C283" s="88"/>
      <c r="D283"/>
      <c r="F283" t="s">
        <v>197</v>
      </c>
      <c r="G283" t="s">
        <v>271</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35">
      <c r="C284" s="88"/>
      <c r="D284"/>
      <c r="F284" t="s">
        <v>198</v>
      </c>
      <c r="G284" t="s">
        <v>271</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35">
      <c r="C285" s="88"/>
      <c r="D285"/>
      <c r="F285" t="s">
        <v>199</v>
      </c>
      <c r="G285" t="s">
        <v>271</v>
      </c>
      <c r="J285" s="121">
        <f t="shared" ref="J285:K285" si="364">J$123 * J155</f>
        <v>2.4595528548041394</v>
      </c>
      <c r="K285" s="121">
        <f t="shared" si="364"/>
        <v>0</v>
      </c>
      <c r="L285" s="121">
        <f t="shared" ref="L285:M285" si="365">L$123 * L155</f>
        <v>2.4595528548041394</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35">
      <c r="C286" s="88"/>
      <c r="D286"/>
      <c r="F286" t="s">
        <v>376</v>
      </c>
      <c r="G286" t="s">
        <v>271</v>
      </c>
      <c r="J286" s="79"/>
      <c r="K286" s="79"/>
      <c r="L286" s="79"/>
      <c r="M286" s="79"/>
      <c r="N286" s="79"/>
      <c r="O286" s="79"/>
      <c r="P286" s="79"/>
      <c r="Q286" s="79"/>
      <c r="R286" s="79"/>
      <c r="S286" s="79"/>
      <c r="T286" s="79"/>
      <c r="U286" s="79"/>
      <c r="V286" s="79"/>
      <c r="W286" s="79"/>
      <c r="X286" s="79"/>
      <c r="Y286" s="79"/>
    </row>
    <row r="287" spans="3:25" x14ac:dyDescent="0.35">
      <c r="C287" s="88"/>
      <c r="D287"/>
      <c r="F287" s="37" t="s">
        <v>377</v>
      </c>
      <c r="G287" s="37" t="s">
        <v>271</v>
      </c>
      <c r="H287" s="37"/>
      <c r="I287" s="37"/>
      <c r="J287" s="81"/>
      <c r="K287" s="81"/>
      <c r="L287" s="81"/>
      <c r="M287" s="81"/>
      <c r="N287" s="81"/>
      <c r="O287" s="81"/>
      <c r="P287" s="81"/>
      <c r="Q287" s="81"/>
      <c r="R287" s="81"/>
      <c r="S287" s="81"/>
      <c r="T287" s="81"/>
      <c r="U287" s="81"/>
      <c r="V287" s="81"/>
      <c r="W287" s="81"/>
      <c r="X287" s="81"/>
      <c r="Y287" s="81"/>
    </row>
    <row r="288" spans="3:25" x14ac:dyDescent="0.35">
      <c r="C288" s="88"/>
    </row>
    <row r="289" spans="2:27" x14ac:dyDescent="0.35">
      <c r="B289" s="30" t="s">
        <v>231</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35">
      <c r="C291" s="88"/>
      <c r="E291" t="s">
        <v>232</v>
      </c>
      <c r="G291" s="6" t="s">
        <v>55</v>
      </c>
      <c r="H291" s="187">
        <f t="array" ref="H291">SUM(IF(ISERROR(H51:Y287), 1))</f>
        <v>0</v>
      </c>
    </row>
    <row r="293" spans="2:27" x14ac:dyDescent="0.35">
      <c r="E293" t="s">
        <v>715</v>
      </c>
      <c r="G293" s="6" t="s">
        <v>55</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35">
      <c r="C295" s="88"/>
      <c r="E295" t="s">
        <v>239</v>
      </c>
      <c r="G295" s="6" t="s">
        <v>55</v>
      </c>
      <c r="H295" s="103">
        <f>H291 + H293</f>
        <v>0</v>
      </c>
    </row>
    <row r="297" spans="2:27" x14ac:dyDescent="0.35">
      <c r="B297" s="30" t="s">
        <v>106</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4" width="24.54296875" hidden="1" customWidth="1"/>
    <col min="315" max="16384" width="8.54296875" hidden="1"/>
  </cols>
  <sheetData>
    <row r="1" spans="1:27" s="1" customFormat="1" x14ac:dyDescent="0.35">
      <c r="A1" s="1" t="str">
        <f ca="1">MID(CELL("filename",A1),FIND("]",CELL("filename",A1))+1,255)</f>
        <v>Reactive power charges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H254 &amp; IF(H254 = 1, " issue", " issues") &amp;" identified in checks on this sheet"</f>
        <v>0 issues identified in checks on this sheet</v>
      </c>
      <c r="B4" s="13"/>
      <c r="C4" s="13"/>
      <c r="D4" s="13"/>
      <c r="E4" s="13"/>
      <c r="F4" s="13"/>
      <c r="G4" s="13"/>
      <c r="H4" s="14"/>
      <c r="I4" s="14"/>
    </row>
    <row r="5" spans="1:27" ht="43.5" x14ac:dyDescent="0.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5">
      <c r="C9" s="29" t="s">
        <v>661</v>
      </c>
      <c r="D9"/>
    </row>
    <row r="10" spans="1:27" x14ac:dyDescent="0.35">
      <c r="C10" s="29" t="s">
        <v>662</v>
      </c>
      <c r="D10"/>
      <c r="E10"/>
    </row>
    <row r="11" spans="1:27" x14ac:dyDescent="0.35">
      <c r="C11" s="91" t="s">
        <v>663</v>
      </c>
    </row>
    <row r="13" spans="1:27" x14ac:dyDescent="0.35">
      <c r="B13" s="30" t="s">
        <v>664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35">
      <c r="C15" s="29" t="s">
        <v>665</v>
      </c>
    </row>
    <row r="17" spans="3:27" x14ac:dyDescent="0.35">
      <c r="C17" s="31" t="str">
        <f ca="1">INDEX('Version control'!$H$34:$H$57,MATCH($A$1,'Version control'!$F$34:$F$57,0),1)&amp;"-A: Inputs to reactive power charge calculations"</f>
        <v>Section 113-A: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35">
      <c r="C18" s="32"/>
      <c r="D18"/>
      <c r="E18" s="32"/>
    </row>
    <row r="19" spans="3:27" x14ac:dyDescent="0.35">
      <c r="D19" s="32" t="s">
        <v>285</v>
      </c>
    </row>
    <row r="20" spans="3:27" x14ac:dyDescent="0.35">
      <c r="D20" s="29" t="s">
        <v>666</v>
      </c>
      <c r="E20"/>
    </row>
    <row r="21" spans="3:27" x14ac:dyDescent="0.35">
      <c r="C21" s="88"/>
      <c r="E21" s="23" t="s">
        <v>189</v>
      </c>
      <c r="F21" s="23"/>
      <c r="G21" s="23" t="s">
        <v>667</v>
      </c>
      <c r="H21" s="83"/>
    </row>
    <row r="22" spans="3:27" x14ac:dyDescent="0.35">
      <c r="C22" s="88"/>
      <c r="E22" t="s">
        <v>191</v>
      </c>
      <c r="G22" t="s">
        <v>667</v>
      </c>
      <c r="H22" s="120">
        <f t="array" ref="H22:H30">TRANSPOSE('Inputs by network level'!K21:S21)</f>
        <v>0.18</v>
      </c>
    </row>
    <row r="23" spans="3:27" x14ac:dyDescent="0.35">
      <c r="C23" s="88"/>
      <c r="E23" t="s">
        <v>192</v>
      </c>
      <c r="G23" t="s">
        <v>667</v>
      </c>
      <c r="H23" s="120">
        <v>0</v>
      </c>
    </row>
    <row r="24" spans="3:27" x14ac:dyDescent="0.35">
      <c r="C24" s="88"/>
      <c r="E24" t="s">
        <v>193</v>
      </c>
      <c r="G24" t="s">
        <v>667</v>
      </c>
      <c r="H24" s="120">
        <v>0</v>
      </c>
    </row>
    <row r="25" spans="3:27" x14ac:dyDescent="0.35">
      <c r="C25" s="88"/>
      <c r="E25" t="s">
        <v>194</v>
      </c>
      <c r="G25" t="s">
        <v>667</v>
      </c>
      <c r="H25" s="120">
        <v>0.18</v>
      </c>
    </row>
    <row r="26" spans="3:27" x14ac:dyDescent="0.35">
      <c r="C26" s="88"/>
      <c r="E26" t="s">
        <v>195</v>
      </c>
      <c r="G26" t="s">
        <v>667</v>
      </c>
      <c r="H26" s="120">
        <v>0.18</v>
      </c>
    </row>
    <row r="27" spans="3:27" x14ac:dyDescent="0.35">
      <c r="C27" s="88"/>
      <c r="E27" t="s">
        <v>196</v>
      </c>
      <c r="G27" t="s">
        <v>667</v>
      </c>
      <c r="H27" s="120">
        <v>0</v>
      </c>
    </row>
    <row r="28" spans="3:27" x14ac:dyDescent="0.35">
      <c r="C28" s="88"/>
      <c r="E28" t="s">
        <v>197</v>
      </c>
      <c r="G28" t="s">
        <v>667</v>
      </c>
      <c r="H28" s="120">
        <v>0.18</v>
      </c>
    </row>
    <row r="29" spans="3:27" x14ac:dyDescent="0.35">
      <c r="C29" s="88"/>
      <c r="E29" t="s">
        <v>198</v>
      </c>
      <c r="G29" t="s">
        <v>667</v>
      </c>
      <c r="H29" s="120">
        <v>0.18</v>
      </c>
    </row>
    <row r="30" spans="3:27" x14ac:dyDescent="0.35">
      <c r="C30" s="88"/>
      <c r="E30" t="s">
        <v>199</v>
      </c>
      <c r="G30" t="s">
        <v>667</v>
      </c>
      <c r="H30" s="120">
        <v>0.18</v>
      </c>
    </row>
    <row r="31" spans="3:27" x14ac:dyDescent="0.35">
      <c r="C31" s="88"/>
      <c r="E31" t="s">
        <v>376</v>
      </c>
      <c r="G31" t="s">
        <v>667</v>
      </c>
      <c r="H31" s="79"/>
    </row>
    <row r="32" spans="3:27" x14ac:dyDescent="0.35">
      <c r="C32" s="88"/>
      <c r="E32" s="37" t="s">
        <v>377</v>
      </c>
      <c r="F32" s="37"/>
      <c r="G32" s="37" t="s">
        <v>667</v>
      </c>
      <c r="H32" s="81"/>
    </row>
    <row r="33" spans="3:8" x14ac:dyDescent="0.35">
      <c r="C33" s="88"/>
      <c r="H33" s="89"/>
    </row>
    <row r="34" spans="3:8" x14ac:dyDescent="0.35">
      <c r="D34" s="88" t="s">
        <v>394</v>
      </c>
      <c r="H34" s="89"/>
    </row>
    <row r="35" spans="3:8" x14ac:dyDescent="0.35">
      <c r="C35" s="88"/>
      <c r="E35" s="23" t="s">
        <v>189</v>
      </c>
      <c r="F35" s="23"/>
      <c r="G35" s="64" t="s">
        <v>283</v>
      </c>
      <c r="H35" s="124">
        <f t="array" ref="H35:H44">TRANSPOSE('Load &amp; loss characteristics'!J29:S29)</f>
        <v>1</v>
      </c>
    </row>
    <row r="36" spans="3:8" x14ac:dyDescent="0.35">
      <c r="C36" s="88"/>
      <c r="E36" t="s">
        <v>191</v>
      </c>
      <c r="G36" s="28" t="s">
        <v>283</v>
      </c>
      <c r="H36" s="120">
        <v>1</v>
      </c>
    </row>
    <row r="37" spans="3:8" x14ac:dyDescent="0.35">
      <c r="C37" s="88"/>
      <c r="E37" t="s">
        <v>192</v>
      </c>
      <c r="G37" s="28" t="s">
        <v>283</v>
      </c>
      <c r="H37" s="120">
        <v>1</v>
      </c>
    </row>
    <row r="38" spans="3:8" x14ac:dyDescent="0.35">
      <c r="C38" s="88"/>
      <c r="E38" t="s">
        <v>193</v>
      </c>
      <c r="G38" s="28" t="s">
        <v>283</v>
      </c>
      <c r="H38" s="120">
        <v>1</v>
      </c>
    </row>
    <row r="39" spans="3:8" x14ac:dyDescent="0.35">
      <c r="C39" s="88"/>
      <c r="E39" t="s">
        <v>194</v>
      </c>
      <c r="G39" s="28" t="s">
        <v>283</v>
      </c>
      <c r="H39" s="120">
        <v>1.0149999999999999</v>
      </c>
    </row>
    <row r="40" spans="3:8" x14ac:dyDescent="0.35">
      <c r="C40" s="88"/>
      <c r="E40" t="s">
        <v>195</v>
      </c>
      <c r="G40" s="28" t="s">
        <v>283</v>
      </c>
      <c r="H40" s="120">
        <v>1.028</v>
      </c>
    </row>
    <row r="41" spans="3:8" x14ac:dyDescent="0.35">
      <c r="C41" s="88"/>
      <c r="E41" t="s">
        <v>196</v>
      </c>
      <c r="G41" s="28" t="s">
        <v>283</v>
      </c>
      <c r="H41" s="120">
        <v>1.028</v>
      </c>
    </row>
    <row r="42" spans="3:8" x14ac:dyDescent="0.35">
      <c r="C42" s="88"/>
      <c r="E42" t="s">
        <v>197</v>
      </c>
      <c r="G42" s="28" t="s">
        <v>283</v>
      </c>
      <c r="H42" s="120">
        <v>1.0369999999999999</v>
      </c>
    </row>
    <row r="43" spans="3:8" x14ac:dyDescent="0.35">
      <c r="C43" s="88"/>
      <c r="E43" t="s">
        <v>198</v>
      </c>
      <c r="G43" s="28" t="s">
        <v>283</v>
      </c>
      <c r="H43" s="120">
        <v>1.0609999999999999</v>
      </c>
    </row>
    <row r="44" spans="3:8" x14ac:dyDescent="0.35">
      <c r="C44" s="88"/>
      <c r="E44" t="s">
        <v>199</v>
      </c>
      <c r="G44" s="28" t="s">
        <v>283</v>
      </c>
      <c r="H44" s="120">
        <v>1.099</v>
      </c>
    </row>
    <row r="45" spans="3:8" x14ac:dyDescent="0.35">
      <c r="C45" s="88"/>
      <c r="E45" t="s">
        <v>376</v>
      </c>
      <c r="G45" s="28" t="s">
        <v>283</v>
      </c>
      <c r="H45" s="79"/>
    </row>
    <row r="46" spans="3:8" x14ac:dyDescent="0.35">
      <c r="C46" s="88"/>
      <c r="E46" s="37" t="s">
        <v>377</v>
      </c>
      <c r="F46" s="37"/>
      <c r="G46" s="67" t="s">
        <v>283</v>
      </c>
      <c r="H46" s="81"/>
    </row>
    <row r="47" spans="3:8" x14ac:dyDescent="0.35">
      <c r="C47" s="88"/>
      <c r="H47" s="89"/>
    </row>
    <row r="48" spans="3:8" x14ac:dyDescent="0.35">
      <c r="D48" s="32" t="s">
        <v>668</v>
      </c>
      <c r="H48" s="89"/>
    </row>
    <row r="49" spans="3:8" x14ac:dyDescent="0.35">
      <c r="C49" s="88"/>
      <c r="E49" s="23" t="s">
        <v>189</v>
      </c>
      <c r="F49" s="23"/>
      <c r="G49" s="23" t="s">
        <v>585</v>
      </c>
      <c r="H49" s="83"/>
    </row>
    <row r="50" spans="3:8" x14ac:dyDescent="0.35">
      <c r="C50" s="88"/>
      <c r="E50" t="s">
        <v>191</v>
      </c>
      <c r="G50" t="s">
        <v>585</v>
      </c>
      <c r="H50" s="79"/>
    </row>
    <row r="51" spans="3:8" x14ac:dyDescent="0.35">
      <c r="C51" s="88"/>
      <c r="E51" t="s">
        <v>192</v>
      </c>
      <c r="G51" t="s">
        <v>585</v>
      </c>
      <c r="H51" s="120">
        <f t="array" ref="H51:H58">TRANSPOSE('Unit costs'!L114:S114)</f>
        <v>0</v>
      </c>
    </row>
    <row r="52" spans="3:8" x14ac:dyDescent="0.35">
      <c r="C52" s="88"/>
      <c r="E52" t="s">
        <v>193</v>
      </c>
      <c r="G52" t="s">
        <v>585</v>
      </c>
      <c r="H52" s="120">
        <v>0</v>
      </c>
    </row>
    <row r="53" spans="3:8" x14ac:dyDescent="0.35">
      <c r="C53" s="88"/>
      <c r="E53" t="s">
        <v>194</v>
      </c>
      <c r="G53" t="s">
        <v>585</v>
      </c>
      <c r="H53" s="120">
        <v>9.0360862056750033</v>
      </c>
    </row>
    <row r="54" spans="3:8" x14ac:dyDescent="0.35">
      <c r="C54" s="88"/>
      <c r="E54" t="s">
        <v>195</v>
      </c>
      <c r="G54" t="s">
        <v>585</v>
      </c>
      <c r="H54" s="120">
        <v>8.2805323161648161</v>
      </c>
    </row>
    <row r="55" spans="3:8" x14ac:dyDescent="0.35">
      <c r="C55" s="88"/>
      <c r="E55" t="s">
        <v>196</v>
      </c>
      <c r="G55" t="s">
        <v>585</v>
      </c>
      <c r="H55" s="120">
        <v>0</v>
      </c>
    </row>
    <row r="56" spans="3:8" x14ac:dyDescent="0.35">
      <c r="C56" s="88"/>
      <c r="E56" t="s">
        <v>197</v>
      </c>
      <c r="G56" t="s">
        <v>585</v>
      </c>
      <c r="H56" s="120">
        <v>34.516832923530124</v>
      </c>
    </row>
    <row r="57" spans="3:8" x14ac:dyDescent="0.35">
      <c r="C57" s="88"/>
      <c r="E57" t="s">
        <v>198</v>
      </c>
      <c r="G57" t="s">
        <v>585</v>
      </c>
      <c r="H57" s="120">
        <v>8.5517471247672674</v>
      </c>
    </row>
    <row r="58" spans="3:8" x14ac:dyDescent="0.35">
      <c r="C58" s="88"/>
      <c r="E58" t="s">
        <v>199</v>
      </c>
      <c r="G58" t="s">
        <v>585</v>
      </c>
      <c r="H58" s="120">
        <v>21.027271770308033</v>
      </c>
    </row>
    <row r="59" spans="3:8" x14ac:dyDescent="0.35">
      <c r="C59" s="88"/>
      <c r="E59" t="s">
        <v>376</v>
      </c>
      <c r="G59" t="s">
        <v>585</v>
      </c>
      <c r="H59" s="79"/>
    </row>
    <row r="60" spans="3:8" x14ac:dyDescent="0.35">
      <c r="C60" s="88"/>
      <c r="E60" s="37" t="s">
        <v>377</v>
      </c>
      <c r="F60" s="37"/>
      <c r="G60" s="37" t="s">
        <v>585</v>
      </c>
      <c r="H60" s="81"/>
    </row>
    <row r="61" spans="3:8" x14ac:dyDescent="0.35">
      <c r="C61" s="88"/>
      <c r="H61" s="89"/>
    </row>
    <row r="62" spans="3:8" x14ac:dyDescent="0.35">
      <c r="C62" s="88"/>
      <c r="D62" s="32" t="s">
        <v>669</v>
      </c>
      <c r="E62"/>
      <c r="H62" s="89"/>
    </row>
    <row r="63" spans="3:8" x14ac:dyDescent="0.35">
      <c r="C63" s="88"/>
      <c r="E63" s="23" t="s">
        <v>189</v>
      </c>
      <c r="F63" s="23"/>
      <c r="G63" s="23" t="s">
        <v>585</v>
      </c>
      <c r="H63" s="124">
        <f t="array" ref="H63:H72">TRANSPOSE('Unit costs'!J115:S115)</f>
        <v>24.91020871756313</v>
      </c>
    </row>
    <row r="64" spans="3:8" x14ac:dyDescent="0.35">
      <c r="C64" s="88"/>
      <c r="E64" t="s">
        <v>191</v>
      </c>
      <c r="G64" t="s">
        <v>585</v>
      </c>
      <c r="H64" s="120">
        <v>0</v>
      </c>
    </row>
    <row r="65" spans="3:42" x14ac:dyDescent="0.35">
      <c r="C65" s="88"/>
      <c r="E65" t="s">
        <v>192</v>
      </c>
      <c r="G65" t="s">
        <v>585</v>
      </c>
      <c r="H65" s="120">
        <v>0</v>
      </c>
    </row>
    <row r="66" spans="3:42" x14ac:dyDescent="0.35">
      <c r="C66" s="88"/>
      <c r="E66" t="s">
        <v>193</v>
      </c>
      <c r="G66" t="s">
        <v>585</v>
      </c>
      <c r="H66" s="120">
        <v>0</v>
      </c>
    </row>
    <row r="67" spans="3:42" x14ac:dyDescent="0.35">
      <c r="C67" s="88"/>
      <c r="E67" t="s">
        <v>194</v>
      </c>
      <c r="G67" t="s">
        <v>585</v>
      </c>
      <c r="H67" s="120">
        <v>8.0664338465438021</v>
      </c>
    </row>
    <row r="68" spans="3:42" x14ac:dyDescent="0.35">
      <c r="C68" s="88"/>
      <c r="E68" t="s">
        <v>195</v>
      </c>
      <c r="G68" t="s">
        <v>585</v>
      </c>
      <c r="H68" s="120">
        <v>7.3919576044507211</v>
      </c>
    </row>
    <row r="69" spans="3:42" x14ac:dyDescent="0.35">
      <c r="C69" s="88"/>
      <c r="E69" t="s">
        <v>196</v>
      </c>
      <c r="G69" t="s">
        <v>585</v>
      </c>
      <c r="H69" s="120">
        <v>0</v>
      </c>
    </row>
    <row r="70" spans="3:42" x14ac:dyDescent="0.35">
      <c r="C70" s="88"/>
      <c r="E70" t="s">
        <v>197</v>
      </c>
      <c r="G70" t="s">
        <v>585</v>
      </c>
      <c r="H70" s="120">
        <v>30.812869978486663</v>
      </c>
    </row>
    <row r="71" spans="3:42" x14ac:dyDescent="0.35">
      <c r="C71" s="88"/>
      <c r="E71" t="s">
        <v>198</v>
      </c>
      <c r="G71" t="s">
        <v>585</v>
      </c>
      <c r="H71" s="120">
        <v>7.6340686536371187</v>
      </c>
    </row>
    <row r="72" spans="3:42" x14ac:dyDescent="0.35">
      <c r="C72" s="88"/>
      <c r="E72" t="s">
        <v>199</v>
      </c>
      <c r="G72" t="s">
        <v>585</v>
      </c>
      <c r="H72" s="120">
        <v>18.770858627041765</v>
      </c>
    </row>
    <row r="73" spans="3:42" x14ac:dyDescent="0.35">
      <c r="C73" s="88"/>
      <c r="E73" t="s">
        <v>376</v>
      </c>
      <c r="G73" t="s">
        <v>585</v>
      </c>
      <c r="H73" s="79"/>
    </row>
    <row r="74" spans="3:42" x14ac:dyDescent="0.35">
      <c r="C74" s="88"/>
      <c r="E74" s="37" t="s">
        <v>377</v>
      </c>
      <c r="F74" s="37"/>
      <c r="G74" s="37" t="s">
        <v>585</v>
      </c>
      <c r="H74" s="81"/>
    </row>
    <row r="75" spans="3:42" x14ac:dyDescent="0.35">
      <c r="C75" s="88"/>
      <c r="H75" s="63"/>
    </row>
    <row r="76" spans="3:42" x14ac:dyDescent="0.35">
      <c r="D76" s="88" t="s">
        <v>670</v>
      </c>
    </row>
    <row r="77" spans="3:42" x14ac:dyDescent="0.35">
      <c r="D77" s="29" t="s">
        <v>671</v>
      </c>
      <c r="E77" s="203"/>
    </row>
    <row r="78" spans="3:42" x14ac:dyDescent="0.35">
      <c r="C78" s="88"/>
      <c r="E78" t="s">
        <v>672</v>
      </c>
      <c r="G78" t="s">
        <v>673</v>
      </c>
      <c r="I78" t="s">
        <v>154</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223</v>
      </c>
    </row>
    <row r="79" spans="3:42" x14ac:dyDescent="0.35">
      <c r="C79" s="88"/>
    </row>
    <row r="80" spans="3:42" x14ac:dyDescent="0.35">
      <c r="D80" s="32" t="s">
        <v>120</v>
      </c>
      <c r="E80"/>
      <c r="H80" s="14"/>
      <c r="J80" s="63"/>
      <c r="K80" s="63"/>
      <c r="L80" s="63"/>
      <c r="M80" s="63"/>
      <c r="N80" s="63"/>
      <c r="O80" s="63"/>
      <c r="P80" s="63"/>
      <c r="Q80" s="63"/>
      <c r="R80" s="63"/>
      <c r="S80" s="63"/>
      <c r="T80" s="63"/>
      <c r="U80" s="63"/>
      <c r="V80" s="63"/>
      <c r="W80" s="63"/>
      <c r="X80" s="63"/>
      <c r="Y80" s="63"/>
      <c r="AP80" s="3"/>
    </row>
    <row r="81" spans="3:42" x14ac:dyDescent="0.35">
      <c r="C81" s="32"/>
      <c r="D81"/>
      <c r="E81" s="23" t="s">
        <v>191</v>
      </c>
      <c r="F81" s="23"/>
      <c r="G81" s="23" t="s">
        <v>167</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35">
      <c r="C82" s="32"/>
      <c r="D82"/>
      <c r="E82" t="s">
        <v>192</v>
      </c>
      <c r="G82" t="s">
        <v>167</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35">
      <c r="C83" s="32"/>
      <c r="D83"/>
      <c r="E83" t="s">
        <v>193</v>
      </c>
      <c r="G83" t="s">
        <v>167</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35">
      <c r="C84" s="32"/>
      <c r="D84"/>
      <c r="E84" t="s">
        <v>194</v>
      </c>
      <c r="G84" t="s">
        <v>167</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35">
      <c r="C85" s="32"/>
      <c r="D85"/>
      <c r="E85" t="s">
        <v>195</v>
      </c>
      <c r="G85" t="s">
        <v>167</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35">
      <c r="C86" s="32"/>
      <c r="D86"/>
      <c r="E86" t="s">
        <v>196</v>
      </c>
      <c r="G86" t="s">
        <v>167</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35">
      <c r="C87" s="32"/>
      <c r="D87"/>
      <c r="E87" t="s">
        <v>197</v>
      </c>
      <c r="G87" t="s">
        <v>167</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35">
      <c r="C88" s="32"/>
      <c r="D88"/>
      <c r="E88" t="s">
        <v>198</v>
      </c>
      <c r="G88" t="s">
        <v>167</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35">
      <c r="C89" s="32"/>
      <c r="D89"/>
      <c r="E89" s="37" t="s">
        <v>199</v>
      </c>
      <c r="F89" s="37"/>
      <c r="G89" s="37" t="s">
        <v>167</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35">
      <c r="C90" s="88"/>
    </row>
    <row r="91" spans="3:42" x14ac:dyDescent="0.35">
      <c r="D91" s="32" t="s">
        <v>404</v>
      </c>
      <c r="E91" s="32"/>
      <c r="I91" t="s">
        <v>154</v>
      </c>
      <c r="AA91" t="s">
        <v>674</v>
      </c>
    </row>
    <row r="92" spans="3:42" x14ac:dyDescent="0.35">
      <c r="D92" s="29" t="s">
        <v>401</v>
      </c>
      <c r="E92"/>
      <c r="AA92" s="204"/>
    </row>
    <row r="93" spans="3:42" x14ac:dyDescent="0.35">
      <c r="D93"/>
      <c r="E93" s="23" t="s">
        <v>189</v>
      </c>
      <c r="F93" s="23"/>
      <c r="G93" s="64" t="s">
        <v>283</v>
      </c>
      <c r="H93" s="23"/>
      <c r="I93" s="23"/>
      <c r="J93" s="83"/>
      <c r="K93" s="83"/>
      <c r="L93" s="83"/>
      <c r="M93" s="83"/>
      <c r="N93" s="83"/>
      <c r="O93" s="83"/>
      <c r="P93" s="83"/>
      <c r="Q93" s="83"/>
      <c r="R93" s="124">
        <f t="array" ref="R93:Y102">TRANSPOSE('Load &amp; loss characteristics'!J172:S179)</f>
        <v>-1.099</v>
      </c>
      <c r="S93" s="124">
        <v>-1.0609999999999999</v>
      </c>
      <c r="T93" s="124">
        <v>-1.099</v>
      </c>
      <c r="U93" s="124">
        <v>-1.099</v>
      </c>
      <c r="V93" s="124">
        <v>-1.0609999999999999</v>
      </c>
      <c r="W93" s="124">
        <v>-1.0609999999999999</v>
      </c>
      <c r="X93" s="124">
        <v>-1.0369999999999999</v>
      </c>
      <c r="Y93" s="124">
        <v>-1.0369999999999999</v>
      </c>
    </row>
    <row r="94" spans="3:42" x14ac:dyDescent="0.35">
      <c r="D94"/>
      <c r="E94" t="s">
        <v>191</v>
      </c>
      <c r="G94" s="28" t="s">
        <v>283</v>
      </c>
      <c r="J94" s="79"/>
      <c r="K94" s="79"/>
      <c r="L94" s="79"/>
      <c r="M94" s="79"/>
      <c r="N94" s="79"/>
      <c r="O94" s="79"/>
      <c r="P94" s="79"/>
      <c r="Q94" s="79"/>
      <c r="R94" s="120">
        <v>-1.099</v>
      </c>
      <c r="S94" s="120">
        <v>-1.0609999999999999</v>
      </c>
      <c r="T94" s="120">
        <v>-1.099</v>
      </c>
      <c r="U94" s="120">
        <v>-1.099</v>
      </c>
      <c r="V94" s="120">
        <v>-1.0609999999999999</v>
      </c>
      <c r="W94" s="120">
        <v>-1.0609999999999999</v>
      </c>
      <c r="X94" s="120">
        <v>-1.0369999999999999</v>
      </c>
      <c r="Y94" s="120">
        <v>-1.0369999999999999</v>
      </c>
    </row>
    <row r="95" spans="3:42" x14ac:dyDescent="0.35">
      <c r="D95"/>
      <c r="E95" t="s">
        <v>192</v>
      </c>
      <c r="G95" s="28" t="s">
        <v>283</v>
      </c>
      <c r="J95" s="79"/>
      <c r="K95" s="79"/>
      <c r="L95" s="79"/>
      <c r="M95" s="79"/>
      <c r="N95" s="79"/>
      <c r="O95" s="79"/>
      <c r="P95" s="79"/>
      <c r="Q95" s="79"/>
      <c r="R95" s="120">
        <v>-1.099</v>
      </c>
      <c r="S95" s="120">
        <v>-1.0609999999999999</v>
      </c>
      <c r="T95" s="120">
        <v>-1.099</v>
      </c>
      <c r="U95" s="120">
        <v>-1.099</v>
      </c>
      <c r="V95" s="120">
        <v>-1.0609999999999999</v>
      </c>
      <c r="W95" s="120">
        <v>-1.0609999999999999</v>
      </c>
      <c r="X95" s="120">
        <v>-1.0369999999999999</v>
      </c>
      <c r="Y95" s="120">
        <v>-1.0369999999999999</v>
      </c>
    </row>
    <row r="96" spans="3:42" x14ac:dyDescent="0.35">
      <c r="D96"/>
      <c r="E96" t="s">
        <v>193</v>
      </c>
      <c r="G96" s="28" t="s">
        <v>283</v>
      </c>
      <c r="J96" s="79"/>
      <c r="K96" s="79"/>
      <c r="L96" s="79"/>
      <c r="M96" s="79"/>
      <c r="N96" s="79"/>
      <c r="O96" s="79"/>
      <c r="P96" s="79"/>
      <c r="Q96" s="79"/>
      <c r="R96" s="120">
        <v>-1.099</v>
      </c>
      <c r="S96" s="120">
        <v>-1.0609999999999999</v>
      </c>
      <c r="T96" s="120">
        <v>-1.099</v>
      </c>
      <c r="U96" s="120">
        <v>-1.099</v>
      </c>
      <c r="V96" s="120">
        <v>-1.0609999999999999</v>
      </c>
      <c r="W96" s="120">
        <v>-1.0609999999999999</v>
      </c>
      <c r="X96" s="120">
        <v>-1.0369999999999999</v>
      </c>
      <c r="Y96" s="120">
        <v>-1.0369999999999999</v>
      </c>
    </row>
    <row r="97" spans="3:25" x14ac:dyDescent="0.35">
      <c r="D97"/>
      <c r="E97" t="s">
        <v>194</v>
      </c>
      <c r="G97" s="28" t="s">
        <v>283</v>
      </c>
      <c r="J97" s="79"/>
      <c r="K97" s="79"/>
      <c r="L97" s="79"/>
      <c r="M97" s="79"/>
      <c r="N97" s="79"/>
      <c r="O97" s="79"/>
      <c r="P97" s="79"/>
      <c r="Q97" s="79"/>
      <c r="R97" s="120">
        <v>-1.099</v>
      </c>
      <c r="S97" s="120">
        <v>-1.0609999999999999</v>
      </c>
      <c r="T97" s="120">
        <v>-1.099</v>
      </c>
      <c r="U97" s="120">
        <v>-1.099</v>
      </c>
      <c r="V97" s="120">
        <v>-1.0609999999999999</v>
      </c>
      <c r="W97" s="120">
        <v>-1.0609999999999999</v>
      </c>
      <c r="X97" s="120">
        <v>-1.0369999999999999</v>
      </c>
      <c r="Y97" s="120">
        <v>-1.0369999999999999</v>
      </c>
    </row>
    <row r="98" spans="3:25" x14ac:dyDescent="0.35">
      <c r="D98"/>
      <c r="E98" t="s">
        <v>195</v>
      </c>
      <c r="G98" s="28" t="s">
        <v>283</v>
      </c>
      <c r="J98" s="79"/>
      <c r="K98" s="79"/>
      <c r="L98" s="79"/>
      <c r="M98" s="79"/>
      <c r="N98" s="79"/>
      <c r="O98" s="79"/>
      <c r="P98" s="79"/>
      <c r="Q98" s="79"/>
      <c r="R98" s="120">
        <v>-1.099</v>
      </c>
      <c r="S98" s="120">
        <v>-1.0609999999999999</v>
      </c>
      <c r="T98" s="120">
        <v>-1.099</v>
      </c>
      <c r="U98" s="120">
        <v>-1.099</v>
      </c>
      <c r="V98" s="120">
        <v>-1.0609999999999999</v>
      </c>
      <c r="W98" s="120">
        <v>-1.0609999999999999</v>
      </c>
      <c r="X98" s="120">
        <v>-1.0369999999999999</v>
      </c>
      <c r="Y98" s="120">
        <v>-1.0369999999999999</v>
      </c>
    </row>
    <row r="99" spans="3:25" x14ac:dyDescent="0.35">
      <c r="D99"/>
      <c r="E99" t="s">
        <v>196</v>
      </c>
      <c r="G99" s="28" t="s">
        <v>283</v>
      </c>
      <c r="J99" s="79"/>
      <c r="K99" s="79"/>
      <c r="L99" s="79"/>
      <c r="M99" s="79"/>
      <c r="N99" s="79"/>
      <c r="O99" s="79"/>
      <c r="P99" s="79"/>
      <c r="Q99" s="79"/>
      <c r="R99" s="120">
        <v>0</v>
      </c>
      <c r="S99" s="120">
        <v>0</v>
      </c>
      <c r="T99" s="120">
        <v>0</v>
      </c>
      <c r="U99" s="120">
        <v>0</v>
      </c>
      <c r="V99" s="120">
        <v>0</v>
      </c>
      <c r="W99" s="120">
        <v>0</v>
      </c>
      <c r="X99" s="120">
        <v>0</v>
      </c>
      <c r="Y99" s="120">
        <v>0</v>
      </c>
    </row>
    <row r="100" spans="3:25" x14ac:dyDescent="0.35">
      <c r="D100"/>
      <c r="E100" t="s">
        <v>197</v>
      </c>
      <c r="G100" s="28" t="s">
        <v>283</v>
      </c>
      <c r="J100" s="79"/>
      <c r="K100" s="79"/>
      <c r="L100" s="79"/>
      <c r="M100" s="79"/>
      <c r="N100" s="79"/>
      <c r="O100" s="79"/>
      <c r="P100" s="79"/>
      <c r="Q100" s="79"/>
      <c r="R100" s="120">
        <v>-1.099</v>
      </c>
      <c r="S100" s="120">
        <v>-1.0609999999999999</v>
      </c>
      <c r="T100" s="120">
        <v>-1.099</v>
      </c>
      <c r="U100" s="120">
        <v>-1.099</v>
      </c>
      <c r="V100" s="120">
        <v>-1.0609999999999999</v>
      </c>
      <c r="W100" s="120">
        <v>-1.0609999999999999</v>
      </c>
      <c r="X100" s="120">
        <v>-1.0369999999999999</v>
      </c>
      <c r="Y100" s="120">
        <v>-1.0369999999999999</v>
      </c>
    </row>
    <row r="101" spans="3:25" x14ac:dyDescent="0.35">
      <c r="D101"/>
      <c r="E101" t="s">
        <v>198</v>
      </c>
      <c r="G101" s="28" t="s">
        <v>283</v>
      </c>
      <c r="J101" s="79"/>
      <c r="K101" s="79"/>
      <c r="L101" s="79"/>
      <c r="M101" s="79"/>
      <c r="N101" s="79"/>
      <c r="O101" s="79"/>
      <c r="P101" s="79"/>
      <c r="Q101" s="79"/>
      <c r="R101" s="120">
        <v>-1.099</v>
      </c>
      <c r="S101" s="120">
        <v>-1.0609999999999999</v>
      </c>
      <c r="T101" s="120">
        <v>-1.099</v>
      </c>
      <c r="U101" s="120">
        <v>-1.099</v>
      </c>
      <c r="V101" s="120">
        <v>-1.0609999999999999</v>
      </c>
      <c r="W101" s="120">
        <v>-1.0609999999999999</v>
      </c>
      <c r="X101" s="120">
        <v>0</v>
      </c>
      <c r="Y101" s="120">
        <v>0</v>
      </c>
    </row>
    <row r="102" spans="3:25" x14ac:dyDescent="0.35">
      <c r="D102"/>
      <c r="E102" t="s">
        <v>199</v>
      </c>
      <c r="G102" s="28" t="s">
        <v>283</v>
      </c>
      <c r="J102" s="79"/>
      <c r="K102" s="79"/>
      <c r="L102" s="79"/>
      <c r="M102" s="79"/>
      <c r="N102" s="79"/>
      <c r="O102" s="79"/>
      <c r="P102" s="79"/>
      <c r="Q102" s="79"/>
      <c r="R102" s="120">
        <v>-1.099</v>
      </c>
      <c r="S102" s="120">
        <v>0</v>
      </c>
      <c r="T102" s="120">
        <v>-1.099</v>
      </c>
      <c r="U102" s="120">
        <v>-1.099</v>
      </c>
      <c r="V102" s="120">
        <v>0</v>
      </c>
      <c r="W102" s="120">
        <v>0</v>
      </c>
      <c r="X102" s="120">
        <v>0</v>
      </c>
      <c r="Y102" s="120">
        <v>0</v>
      </c>
    </row>
    <row r="103" spans="3:25" x14ac:dyDescent="0.35">
      <c r="D103"/>
      <c r="E103" t="s">
        <v>376</v>
      </c>
      <c r="G103" s="28" t="s">
        <v>283</v>
      </c>
      <c r="J103" s="79"/>
      <c r="K103" s="79"/>
      <c r="L103" s="79"/>
      <c r="M103" s="79"/>
      <c r="N103" s="79"/>
      <c r="O103" s="79"/>
      <c r="P103" s="79"/>
      <c r="Q103" s="79"/>
      <c r="R103" s="79"/>
      <c r="S103" s="79"/>
      <c r="T103" s="79"/>
      <c r="U103" s="79"/>
      <c r="V103" s="79"/>
      <c r="W103" s="79"/>
      <c r="X103" s="79"/>
      <c r="Y103" s="79"/>
    </row>
    <row r="104" spans="3:25" x14ac:dyDescent="0.35">
      <c r="D104"/>
      <c r="E104" s="37" t="s">
        <v>377</v>
      </c>
      <c r="F104" s="37"/>
      <c r="G104" s="67" t="s">
        <v>283</v>
      </c>
      <c r="H104" s="37"/>
      <c r="I104" s="37"/>
      <c r="J104" s="81"/>
      <c r="K104" s="81"/>
      <c r="L104" s="81"/>
      <c r="M104" s="81"/>
      <c r="N104" s="81"/>
      <c r="O104" s="81"/>
      <c r="P104" s="81"/>
      <c r="Q104" s="81"/>
      <c r="R104" s="81"/>
      <c r="S104" s="81"/>
      <c r="T104" s="81"/>
      <c r="U104" s="81"/>
      <c r="V104" s="81"/>
      <c r="W104" s="81"/>
      <c r="X104" s="81"/>
      <c r="Y104" s="81"/>
    </row>
    <row r="105" spans="3:25" x14ac:dyDescent="0.35">
      <c r="C105" s="88"/>
    </row>
    <row r="106" spans="3:25" x14ac:dyDescent="0.35">
      <c r="D106" s="32" t="s">
        <v>416</v>
      </c>
      <c r="E106"/>
    </row>
    <row r="107" spans="3:25" x14ac:dyDescent="0.35">
      <c r="C107" s="88"/>
      <c r="E107" s="23" t="s">
        <v>189</v>
      </c>
      <c r="F107" s="23"/>
      <c r="G107" s="23" t="s">
        <v>167</v>
      </c>
      <c r="H107" s="23"/>
      <c r="I107" s="23"/>
      <c r="J107" s="65"/>
      <c r="K107" s="65"/>
      <c r="L107" s="65"/>
      <c r="M107" s="65"/>
      <c r="N107" s="65"/>
      <c r="O107" s="65"/>
      <c r="P107" s="65"/>
      <c r="Q107" s="65"/>
      <c r="R107" s="65"/>
      <c r="S107" s="65"/>
      <c r="T107" s="65"/>
      <c r="U107" s="65"/>
      <c r="V107" s="65"/>
      <c r="W107" s="65"/>
      <c r="X107" s="65"/>
      <c r="Y107" s="65"/>
    </row>
    <row r="108" spans="3:25" x14ac:dyDescent="0.35">
      <c r="C108" s="88"/>
      <c r="E108" t="s">
        <v>191</v>
      </c>
      <c r="G108" t="s">
        <v>167</v>
      </c>
      <c r="J108" s="66"/>
      <c r="K108" s="66"/>
      <c r="L108" s="66"/>
      <c r="M108" s="66"/>
      <c r="N108" s="66"/>
      <c r="O108" s="66"/>
      <c r="P108" s="66"/>
      <c r="Q108" s="66"/>
      <c r="R108" s="66"/>
      <c r="S108" s="66"/>
      <c r="T108" s="66"/>
      <c r="U108" s="66"/>
      <c r="V108" s="66"/>
      <c r="W108" s="66"/>
      <c r="X108" s="66"/>
      <c r="Y108" s="66"/>
    </row>
    <row r="109" spans="3:25" x14ac:dyDescent="0.35">
      <c r="C109" s="88"/>
      <c r="E109" t="s">
        <v>192</v>
      </c>
      <c r="G109" t="s">
        <v>167</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35">
      <c r="C110" s="88"/>
      <c r="E110" t="s">
        <v>193</v>
      </c>
      <c r="G110" t="s">
        <v>167</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row>
    <row r="111" spans="3:25" x14ac:dyDescent="0.35">
      <c r="C111" s="88"/>
      <c r="E111" t="s">
        <v>194</v>
      </c>
      <c r="G111" t="s">
        <v>167</v>
      </c>
      <c r="J111" s="25">
        <v>6.4338235294117696E-3</v>
      </c>
      <c r="K111" s="25">
        <v>6.4338235294117696E-3</v>
      </c>
      <c r="L111" s="25">
        <v>6.4338235294117696E-3</v>
      </c>
      <c r="M111" s="25">
        <v>6.4338235294117696E-3</v>
      </c>
      <c r="N111" s="25">
        <v>6.4338235294117696E-3</v>
      </c>
      <c r="O111" s="25">
        <v>6.4338235294117696E-3</v>
      </c>
      <c r="P111" s="25">
        <v>1.16978609625668E-2</v>
      </c>
      <c r="Q111" s="25">
        <v>6.4338235294117696E-3</v>
      </c>
      <c r="R111" s="25">
        <v>6.4338235294117696E-3</v>
      </c>
      <c r="S111" s="25">
        <v>6.4338235294117696E-3</v>
      </c>
      <c r="T111" s="25">
        <v>6.4338235294117696E-3</v>
      </c>
      <c r="U111" s="25">
        <v>6.4338235294117696E-3</v>
      </c>
      <c r="V111" s="25">
        <v>6.4338235294117696E-3</v>
      </c>
      <c r="W111" s="25">
        <v>6.4338235294117696E-3</v>
      </c>
      <c r="X111" s="25">
        <v>1.16978609625668E-2</v>
      </c>
      <c r="Y111" s="25">
        <v>1.16978609625668E-2</v>
      </c>
    </row>
    <row r="112" spans="3:25" x14ac:dyDescent="0.35">
      <c r="C112" s="88"/>
      <c r="E112" t="s">
        <v>195</v>
      </c>
      <c r="G112" t="s">
        <v>167</v>
      </c>
      <c r="J112" s="25">
        <v>4.1617122473246101E-3</v>
      </c>
      <c r="K112" s="25">
        <v>4.1617122473246101E-3</v>
      </c>
      <c r="L112" s="25">
        <v>4.1617122473246101E-3</v>
      </c>
      <c r="M112" s="25">
        <v>4.1617122473246101E-3</v>
      </c>
      <c r="N112" s="25">
        <v>4.1617122473246101E-3</v>
      </c>
      <c r="O112" s="25">
        <v>4.1617122473246101E-3</v>
      </c>
      <c r="P112" s="25">
        <v>7.56674954059021E-3</v>
      </c>
      <c r="Q112" s="25">
        <v>4.1617122473246101E-3</v>
      </c>
      <c r="R112" s="25">
        <v>4.1617122473246101E-3</v>
      </c>
      <c r="S112" s="25">
        <v>4.1617122473246101E-3</v>
      </c>
      <c r="T112" s="25">
        <v>4.1617122473246101E-3</v>
      </c>
      <c r="U112" s="25">
        <v>4.1617122473246101E-3</v>
      </c>
      <c r="V112" s="25">
        <v>4.1617122473246101E-3</v>
      </c>
      <c r="W112" s="25">
        <v>4.1617122473246101E-3</v>
      </c>
      <c r="X112" s="25">
        <v>7.56674954059021E-3</v>
      </c>
      <c r="Y112" s="25">
        <v>7.56674954059021E-3</v>
      </c>
    </row>
    <row r="113" spans="3:27" x14ac:dyDescent="0.35">
      <c r="C113" s="88"/>
      <c r="E113" t="s">
        <v>196</v>
      </c>
      <c r="G113" t="s">
        <v>167</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35">
      <c r="C114" s="88"/>
      <c r="E114" t="s">
        <v>197</v>
      </c>
      <c r="G114" t="s">
        <v>167</v>
      </c>
      <c r="J114" s="25">
        <v>0.42522380337704002</v>
      </c>
      <c r="K114" s="25">
        <v>0.42522380337704002</v>
      </c>
      <c r="L114" s="25">
        <v>0.42522380337704002</v>
      </c>
      <c r="M114" s="25">
        <v>0.42522380337704002</v>
      </c>
      <c r="N114" s="25">
        <v>0.42522380337704002</v>
      </c>
      <c r="O114" s="25">
        <v>0.42522380337704002</v>
      </c>
      <c r="P114" s="25">
        <v>0.38896884219615702</v>
      </c>
      <c r="Q114" s="25">
        <v>0.42522380337704002</v>
      </c>
      <c r="R114" s="25">
        <v>0.42522380337704002</v>
      </c>
      <c r="S114" s="25">
        <v>0.42522380337704002</v>
      </c>
      <c r="T114" s="25">
        <v>0.42522380337704002</v>
      </c>
      <c r="U114" s="25">
        <v>0.42522380337704002</v>
      </c>
      <c r="V114" s="25">
        <v>0.42522380337704002</v>
      </c>
      <c r="W114" s="25">
        <v>0.42522380337704002</v>
      </c>
      <c r="X114" s="25">
        <v>0.38896884219615702</v>
      </c>
      <c r="Y114" s="25">
        <v>0.38896884219615702</v>
      </c>
    </row>
    <row r="115" spans="3:27" x14ac:dyDescent="0.35">
      <c r="C115" s="88"/>
      <c r="E115" t="s">
        <v>198</v>
      </c>
      <c r="G115" t="s">
        <v>167</v>
      </c>
      <c r="J115" s="25">
        <v>0.78260869565217395</v>
      </c>
      <c r="K115" s="25">
        <v>0.78260869565217395</v>
      </c>
      <c r="L115" s="25">
        <v>0.78260869565217395</v>
      </c>
      <c r="M115" s="25">
        <v>0.78260869565217395</v>
      </c>
      <c r="N115" s="25">
        <v>0.78260869565217395</v>
      </c>
      <c r="O115" s="25">
        <v>0.78260869565217395</v>
      </c>
      <c r="P115" s="25">
        <v>0</v>
      </c>
      <c r="Q115" s="25">
        <v>0.78260869565217395</v>
      </c>
      <c r="R115" s="25">
        <v>0.78260869565217395</v>
      </c>
      <c r="S115" s="25">
        <v>0.78260869565217395</v>
      </c>
      <c r="T115" s="25">
        <v>0.78260869565217395</v>
      </c>
      <c r="U115" s="25">
        <v>0.78260869565217395</v>
      </c>
      <c r="V115" s="25">
        <v>0.78260869565217395</v>
      </c>
      <c r="W115" s="25">
        <v>0.78260869565217395</v>
      </c>
      <c r="X115" s="25">
        <v>0</v>
      </c>
      <c r="Y115" s="25">
        <v>0</v>
      </c>
    </row>
    <row r="116" spans="3:27" x14ac:dyDescent="0.35">
      <c r="C116" s="88"/>
      <c r="E116" t="s">
        <v>199</v>
      </c>
      <c r="G116" t="s">
        <v>167</v>
      </c>
      <c r="J116" s="25">
        <v>0.966742252456538</v>
      </c>
      <c r="K116" s="25">
        <v>0.966742252456538</v>
      </c>
      <c r="L116" s="25">
        <v>0.966742252456538</v>
      </c>
      <c r="M116" s="25">
        <v>0.966742252456538</v>
      </c>
      <c r="N116" s="25">
        <v>0.966742252456538</v>
      </c>
      <c r="O116" s="25">
        <v>0</v>
      </c>
      <c r="P116" s="25">
        <v>0</v>
      </c>
      <c r="Q116" s="25">
        <v>0.966742252456538</v>
      </c>
      <c r="R116" s="25">
        <v>0.966742252456538</v>
      </c>
      <c r="S116" s="25">
        <v>0</v>
      </c>
      <c r="T116" s="25">
        <v>0.966742252456538</v>
      </c>
      <c r="U116" s="25">
        <v>0.966742252456538</v>
      </c>
      <c r="V116" s="25">
        <v>0</v>
      </c>
      <c r="W116" s="25">
        <v>0</v>
      </c>
      <c r="X116" s="25">
        <v>0</v>
      </c>
      <c r="Y116" s="25">
        <v>0</v>
      </c>
    </row>
    <row r="117" spans="3:27" x14ac:dyDescent="0.35">
      <c r="C117" s="88"/>
      <c r="E117" t="s">
        <v>376</v>
      </c>
      <c r="G117" t="s">
        <v>167</v>
      </c>
      <c r="J117" s="66"/>
      <c r="K117" s="66"/>
      <c r="L117" s="66"/>
      <c r="M117" s="66"/>
      <c r="N117" s="66"/>
      <c r="O117" s="66"/>
      <c r="P117" s="66"/>
      <c r="Q117" s="66"/>
      <c r="R117" s="66"/>
      <c r="S117" s="66"/>
      <c r="T117" s="66"/>
      <c r="U117" s="66"/>
      <c r="V117" s="66"/>
      <c r="W117" s="66"/>
      <c r="X117" s="66"/>
      <c r="Y117" s="66"/>
    </row>
    <row r="118" spans="3:27" x14ac:dyDescent="0.35">
      <c r="C118" s="88"/>
      <c r="E118" s="37" t="s">
        <v>377</v>
      </c>
      <c r="F118" s="37"/>
      <c r="G118" s="37" t="s">
        <v>167</v>
      </c>
      <c r="H118" s="37"/>
      <c r="I118" s="37"/>
      <c r="J118" s="68"/>
      <c r="K118" s="68"/>
      <c r="L118" s="68"/>
      <c r="M118" s="68"/>
      <c r="N118" s="68"/>
      <c r="O118" s="68"/>
      <c r="P118" s="68"/>
      <c r="Q118" s="68"/>
      <c r="R118" s="68"/>
      <c r="S118" s="68"/>
      <c r="T118" s="68"/>
      <c r="U118" s="68"/>
      <c r="V118" s="68"/>
      <c r="W118" s="68"/>
      <c r="X118" s="68"/>
      <c r="Y118" s="68"/>
    </row>
    <row r="120" spans="3:27" x14ac:dyDescent="0.35">
      <c r="C120" s="31" t="str">
        <f ca="1">INDEX('Version control'!$H$34:$H$57,MATCH($A$1,'Version control'!$F$34:$F$57,0),1)&amp;"-B: Yardstick charge (demand)"</f>
        <v>Section 113-B: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35">
      <c r="C121" s="32"/>
      <c r="D121"/>
      <c r="E121" s="32"/>
    </row>
    <row r="122" spans="3:27" x14ac:dyDescent="0.35">
      <c r="D122" s="32" t="s">
        <v>621</v>
      </c>
      <c r="E122"/>
    </row>
    <row r="123" spans="3:27" x14ac:dyDescent="0.35">
      <c r="E123" s="23" t="s">
        <v>189</v>
      </c>
      <c r="F123" s="23"/>
      <c r="G123" s="23" t="s">
        <v>269</v>
      </c>
      <c r="H123" s="266"/>
      <c r="I123" s="266"/>
      <c r="J123" s="280"/>
      <c r="K123" s="280"/>
      <c r="L123" s="280"/>
      <c r="M123" s="280"/>
      <c r="N123" s="280"/>
      <c r="O123" s="280"/>
      <c r="P123" s="280"/>
      <c r="Q123" s="280"/>
      <c r="R123" s="280"/>
      <c r="S123" s="280"/>
      <c r="T123" s="280"/>
      <c r="U123" s="280"/>
      <c r="V123" s="280"/>
      <c r="W123" s="280"/>
      <c r="X123" s="280"/>
      <c r="Y123" s="280"/>
      <c r="Z123" s="267"/>
      <c r="AA123" s="267"/>
    </row>
    <row r="124" spans="3:27" x14ac:dyDescent="0.35">
      <c r="E124" t="s">
        <v>191</v>
      </c>
      <c r="G124" t="s">
        <v>269</v>
      </c>
      <c r="H124" s="267"/>
      <c r="I124" s="267"/>
      <c r="J124" s="268"/>
      <c r="K124" s="268"/>
      <c r="L124" s="268"/>
      <c r="M124" s="268"/>
      <c r="N124" s="268"/>
      <c r="O124" s="268"/>
      <c r="P124" s="268"/>
      <c r="Q124" s="268"/>
      <c r="R124" s="268"/>
      <c r="S124" s="268"/>
      <c r="T124" s="268"/>
      <c r="U124" s="268"/>
      <c r="V124" s="268"/>
      <c r="W124" s="268"/>
      <c r="X124" s="268"/>
      <c r="Y124" s="268"/>
      <c r="Z124" s="267"/>
      <c r="AA124" s="267"/>
    </row>
    <row r="125" spans="3:27" x14ac:dyDescent="0.35">
      <c r="E125" t="s">
        <v>192</v>
      </c>
      <c r="G125" t="s">
        <v>269</v>
      </c>
      <c r="H125" s="267"/>
      <c r="I125" s="267"/>
      <c r="J125" s="279">
        <f>'Initial unit rates'!J125</f>
        <v>0</v>
      </c>
      <c r="K125" s="279">
        <f>'Initial unit rates'!K125</f>
        <v>0</v>
      </c>
      <c r="L125" s="279">
        <f>'Initial unit rates'!L125</f>
        <v>0</v>
      </c>
      <c r="M125" s="279">
        <f>'Initial unit rates'!M125</f>
        <v>0</v>
      </c>
      <c r="N125" s="279">
        <f>'Initial unit rates'!N125</f>
        <v>0</v>
      </c>
      <c r="O125" s="279">
        <f>'Initial unit rates'!O125</f>
        <v>0</v>
      </c>
      <c r="P125" s="279">
        <f>'Initial unit rates'!P125</f>
        <v>0</v>
      </c>
      <c r="Q125" s="279">
        <f>'Initial unit rates'!Q125</f>
        <v>0</v>
      </c>
      <c r="R125" s="268"/>
      <c r="S125" s="268"/>
      <c r="T125" s="268"/>
      <c r="U125" s="268"/>
      <c r="V125" s="268"/>
      <c r="W125" s="268"/>
      <c r="X125" s="268"/>
      <c r="Y125" s="268"/>
      <c r="Z125" s="267"/>
      <c r="AA125" s="267"/>
    </row>
    <row r="126" spans="3:27" x14ac:dyDescent="0.35">
      <c r="E126" t="s">
        <v>193</v>
      </c>
      <c r="G126" t="s">
        <v>269</v>
      </c>
      <c r="H126" s="267"/>
      <c r="I126" s="267"/>
      <c r="J126" s="279">
        <f>'Initial unit rates'!J126</f>
        <v>0</v>
      </c>
      <c r="K126" s="279">
        <f>'Initial unit rates'!K126</f>
        <v>0</v>
      </c>
      <c r="L126" s="279">
        <f>'Initial unit rates'!L126</f>
        <v>0</v>
      </c>
      <c r="M126" s="279">
        <f>'Initial unit rates'!M126</f>
        <v>0</v>
      </c>
      <c r="N126" s="279">
        <f>'Initial unit rates'!N126</f>
        <v>0</v>
      </c>
      <c r="O126" s="279">
        <f>'Initial unit rates'!O126</f>
        <v>0</v>
      </c>
      <c r="P126" s="279">
        <f>'Initial unit rates'!P126</f>
        <v>0</v>
      </c>
      <c r="Q126" s="279">
        <f>'Initial unit rates'!Q126</f>
        <v>0</v>
      </c>
      <c r="R126" s="268"/>
      <c r="S126" s="268"/>
      <c r="T126" s="268"/>
      <c r="U126" s="268"/>
      <c r="V126" s="268"/>
      <c r="W126" s="268"/>
      <c r="X126" s="268"/>
      <c r="Y126" s="268"/>
      <c r="Z126" s="267"/>
      <c r="AA126" s="267"/>
    </row>
    <row r="127" spans="3:27" x14ac:dyDescent="0.35">
      <c r="E127" t="s">
        <v>194</v>
      </c>
      <c r="G127" t="s">
        <v>269</v>
      </c>
      <c r="H127" s="267"/>
      <c r="I127" s="267"/>
      <c r="J127" s="279">
        <f>'Initial unit rates'!J127</f>
        <v>0.18154197525604587</v>
      </c>
      <c r="K127" s="279">
        <f>'Initial unit rates'!K127</f>
        <v>0.18154197525604587</v>
      </c>
      <c r="L127" s="279">
        <f>'Initial unit rates'!L127</f>
        <v>0.18655699901918471</v>
      </c>
      <c r="M127" s="279">
        <f>'Initial unit rates'!M127</f>
        <v>0.18655699901918471</v>
      </c>
      <c r="N127" s="279">
        <f>'Initial unit rates'!N127</f>
        <v>0.15636211107035611</v>
      </c>
      <c r="O127" s="279">
        <f>'Initial unit rates'!O127</f>
        <v>0.12482801849881127</v>
      </c>
      <c r="P127" s="279">
        <f>'Initial unit rates'!P127</f>
        <v>0.12515610296843255</v>
      </c>
      <c r="Q127" s="279">
        <f>'Initial unit rates'!Q127</f>
        <v>0.18620218278587891</v>
      </c>
      <c r="R127" s="268"/>
      <c r="S127" s="268"/>
      <c r="T127" s="268"/>
      <c r="U127" s="268"/>
      <c r="V127" s="268"/>
      <c r="W127" s="268"/>
      <c r="X127" s="268"/>
      <c r="Y127" s="268"/>
      <c r="Z127" s="267"/>
      <c r="AA127" s="267"/>
    </row>
    <row r="128" spans="3:27" x14ac:dyDescent="0.35">
      <c r="E128" t="s">
        <v>195</v>
      </c>
      <c r="G128" t="s">
        <v>269</v>
      </c>
      <c r="H128" s="267"/>
      <c r="I128" s="267"/>
      <c r="J128" s="279">
        <f>'Initial unit rates'!J128</f>
        <v>0.16463413881953357</v>
      </c>
      <c r="K128" s="279">
        <f>'Initial unit rates'!K128</f>
        <v>0.16463413881953357</v>
      </c>
      <c r="L128" s="279">
        <f>'Initial unit rates'!L128</f>
        <v>0.16918209042818699</v>
      </c>
      <c r="M128" s="279">
        <f>'Initial unit rates'!M128</f>
        <v>0.16918209042818699</v>
      </c>
      <c r="N128" s="279">
        <f>'Initial unit rates'!N128</f>
        <v>0.14179939082278453</v>
      </c>
      <c r="O128" s="279">
        <f>'Initial unit rates'!O128</f>
        <v>0.11320221286077581</v>
      </c>
      <c r="P128" s="279">
        <f>'Initial unit rates'!P128</f>
        <v>0.11371412698277993</v>
      </c>
      <c r="Q128" s="279">
        <f>'Initial unit rates'!Q128</f>
        <v>0.16886031985734737</v>
      </c>
      <c r="R128" s="268"/>
      <c r="S128" s="268"/>
      <c r="T128" s="268"/>
      <c r="U128" s="268"/>
      <c r="V128" s="268"/>
      <c r="W128" s="268"/>
      <c r="X128" s="268"/>
      <c r="Y128" s="268"/>
      <c r="Z128" s="267"/>
      <c r="AA128" s="267"/>
    </row>
    <row r="129" spans="4:27" x14ac:dyDescent="0.35">
      <c r="E129" t="s">
        <v>196</v>
      </c>
      <c r="G129" t="s">
        <v>269</v>
      </c>
      <c r="H129" s="267"/>
      <c r="I129" s="267"/>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68"/>
      <c r="S129" s="268"/>
      <c r="T129" s="268"/>
      <c r="U129" s="268"/>
      <c r="V129" s="268"/>
      <c r="W129" s="268"/>
      <c r="X129" s="268"/>
      <c r="Y129" s="268"/>
      <c r="Z129" s="267"/>
      <c r="AA129" s="267"/>
    </row>
    <row r="130" spans="4:27" x14ac:dyDescent="0.35">
      <c r="E130" t="s">
        <v>197</v>
      </c>
      <c r="G130" t="s">
        <v>269</v>
      </c>
      <c r="H130" s="267"/>
      <c r="I130" s="267"/>
      <c r="J130" s="279">
        <f>'Initial unit rates'!J130</f>
        <v>0.39266020850168448</v>
      </c>
      <c r="K130" s="279">
        <f>'Initial unit rates'!K130</f>
        <v>0.39266020850168448</v>
      </c>
      <c r="L130" s="279">
        <f>'Initial unit rates'!L130</f>
        <v>0.40350728821257587</v>
      </c>
      <c r="M130" s="279">
        <f>'Initial unit rates'!M130</f>
        <v>0.40350728821257587</v>
      </c>
      <c r="N130" s="279">
        <f>'Initial unit rates'!N130</f>
        <v>0.3381982544150206</v>
      </c>
      <c r="O130" s="279">
        <f>'Initial unit rates'!O130</f>
        <v>0.26999263229049297</v>
      </c>
      <c r="P130" s="279">
        <f>'Initial unit rates'!P130</f>
        <v>0.28931004558149404</v>
      </c>
      <c r="Q130" s="279">
        <f>'Initial unit rates'!Q130</f>
        <v>0.40273985018094077</v>
      </c>
      <c r="R130" s="268"/>
      <c r="S130" s="268"/>
      <c r="T130" s="268"/>
      <c r="U130" s="268"/>
      <c r="V130" s="268"/>
      <c r="W130" s="268"/>
      <c r="X130" s="268"/>
      <c r="Y130" s="268"/>
      <c r="Z130" s="267"/>
      <c r="AA130" s="267"/>
    </row>
    <row r="131" spans="4:27" x14ac:dyDescent="0.35">
      <c r="E131" t="s">
        <v>198</v>
      </c>
      <c r="G131" t="s">
        <v>269</v>
      </c>
      <c r="H131" s="267"/>
      <c r="I131" s="267"/>
      <c r="J131" s="279">
        <f>'Initial unit rates'!J131</f>
        <v>3.5962309082958638E-2</v>
      </c>
      <c r="K131" s="279">
        <f>'Initial unit rates'!K131</f>
        <v>3.5962309082958638E-2</v>
      </c>
      <c r="L131" s="279">
        <f>'Initial unit rates'!L131</f>
        <v>3.6955753350456616E-2</v>
      </c>
      <c r="M131" s="279">
        <f>'Initial unit rates'!M131</f>
        <v>3.6955753350456616E-2</v>
      </c>
      <c r="N131" s="279">
        <f>'Initial unit rates'!N131</f>
        <v>3.0974338354781042E-2</v>
      </c>
      <c r="O131" s="279">
        <f>'Initial unit rates'!O131</f>
        <v>2.472763545255096E-2</v>
      </c>
      <c r="P131" s="279">
        <f>'Initial unit rates'!P131</f>
        <v>0</v>
      </c>
      <c r="Q131" s="279">
        <f>'Initial unit rates'!Q131</f>
        <v>3.6885466514413344E-2</v>
      </c>
      <c r="R131" s="268"/>
      <c r="S131" s="268"/>
      <c r="T131" s="268"/>
      <c r="U131" s="268"/>
      <c r="V131" s="268"/>
      <c r="W131" s="268"/>
      <c r="X131" s="268"/>
      <c r="Y131" s="268"/>
      <c r="Z131" s="267"/>
      <c r="AA131" s="267"/>
    </row>
    <row r="132" spans="4:27" x14ac:dyDescent="0.35">
      <c r="E132" t="s">
        <v>199</v>
      </c>
      <c r="G132" t="s">
        <v>269</v>
      </c>
      <c r="H132" s="267"/>
      <c r="I132" s="267"/>
      <c r="J132" s="279">
        <f>'Initial unit rates'!J132</f>
        <v>1.3060024820808888E-2</v>
      </c>
      <c r="K132" s="279">
        <f>'Initial unit rates'!K132</f>
        <v>1.3060024820808888E-2</v>
      </c>
      <c r="L132" s="279">
        <f>'Initial unit rates'!L132</f>
        <v>1.3420802733086001E-2</v>
      </c>
      <c r="M132" s="279">
        <f>'Initial unit rates'!M132</f>
        <v>1.3420802733086001E-2</v>
      </c>
      <c r="N132" s="279">
        <f>'Initial unit rates'!N132</f>
        <v>1.1248599938018572E-2</v>
      </c>
      <c r="O132" s="279">
        <f>'Initial unit rates'!O132</f>
        <v>0</v>
      </c>
      <c r="P132" s="279">
        <f>'Initial unit rates'!P132</f>
        <v>0</v>
      </c>
      <c r="Q132" s="279">
        <f>'Initial unit rates'!Q132</f>
        <v>1.3395277458243838E-2</v>
      </c>
      <c r="R132" s="268"/>
      <c r="S132" s="268"/>
      <c r="T132" s="268"/>
      <c r="U132" s="268"/>
      <c r="V132" s="268"/>
      <c r="W132" s="268"/>
      <c r="X132" s="268"/>
      <c r="Y132" s="268"/>
      <c r="Z132" s="267"/>
      <c r="AA132" s="267"/>
    </row>
    <row r="133" spans="4:27" x14ac:dyDescent="0.35">
      <c r="E133" t="s">
        <v>376</v>
      </c>
      <c r="G133" t="s">
        <v>269</v>
      </c>
      <c r="H133" s="267"/>
      <c r="I133" s="267"/>
      <c r="J133" s="268"/>
      <c r="K133" s="268"/>
      <c r="L133" s="268"/>
      <c r="M133" s="268"/>
      <c r="N133" s="268"/>
      <c r="O133" s="268"/>
      <c r="P133" s="268"/>
      <c r="Q133" s="268"/>
      <c r="R133" s="268"/>
      <c r="S133" s="268"/>
      <c r="T133" s="268"/>
      <c r="U133" s="268"/>
      <c r="V133" s="268"/>
      <c r="W133" s="268"/>
      <c r="X133" s="268"/>
      <c r="Y133" s="268"/>
      <c r="Z133" s="267"/>
      <c r="AA133" s="267"/>
    </row>
    <row r="134" spans="4:27" x14ac:dyDescent="0.35">
      <c r="E134" s="37" t="s">
        <v>377</v>
      </c>
      <c r="F134" s="37"/>
      <c r="G134" s="37" t="s">
        <v>269</v>
      </c>
      <c r="H134" s="269"/>
      <c r="I134" s="269"/>
      <c r="J134" s="270"/>
      <c r="K134" s="270"/>
      <c r="L134" s="270"/>
      <c r="M134" s="270"/>
      <c r="N134" s="270"/>
      <c r="O134" s="270"/>
      <c r="P134" s="270"/>
      <c r="Q134" s="270"/>
      <c r="R134" s="270"/>
      <c r="S134" s="270"/>
      <c r="T134" s="270"/>
      <c r="U134" s="270"/>
      <c r="V134" s="270"/>
      <c r="W134" s="270"/>
      <c r="X134" s="270"/>
      <c r="Y134" s="270"/>
      <c r="Z134" s="267"/>
      <c r="AA134" s="267"/>
    </row>
    <row r="135" spans="4:27" x14ac:dyDescent="0.35">
      <c r="E135"/>
      <c r="J135" s="89"/>
      <c r="K135" s="89"/>
      <c r="L135" s="89"/>
      <c r="M135" s="89"/>
      <c r="N135" s="89"/>
      <c r="O135" s="89"/>
      <c r="P135" s="89"/>
      <c r="Q135" s="89"/>
      <c r="R135" s="89"/>
      <c r="S135" s="89"/>
      <c r="T135" s="89"/>
      <c r="U135" s="89"/>
      <c r="V135" s="89"/>
      <c r="W135" s="89"/>
      <c r="X135" s="89"/>
      <c r="Y135" s="89"/>
    </row>
    <row r="136" spans="4:27" x14ac:dyDescent="0.35">
      <c r="D136" s="32" t="s">
        <v>622</v>
      </c>
      <c r="E136"/>
      <c r="J136" s="89"/>
      <c r="K136" s="89"/>
      <c r="L136" s="89"/>
      <c r="M136" s="89"/>
      <c r="N136" s="89"/>
      <c r="O136" s="89"/>
      <c r="P136" s="89"/>
      <c r="Q136" s="89"/>
      <c r="R136" s="89"/>
      <c r="S136" s="89"/>
      <c r="T136" s="89"/>
      <c r="U136" s="89"/>
      <c r="V136" s="89"/>
      <c r="W136" s="89"/>
      <c r="X136" s="89"/>
      <c r="Y136" s="89"/>
    </row>
    <row r="137" spans="4:27" x14ac:dyDescent="0.35">
      <c r="E137" s="23" t="s">
        <v>189</v>
      </c>
      <c r="F137" s="23"/>
      <c r="G137" s="23" t="s">
        <v>269</v>
      </c>
      <c r="H137" s="266"/>
      <c r="I137" s="266"/>
      <c r="J137" s="278">
        <f>'Initial unit rates'!J135</f>
        <v>0.51126174856083073</v>
      </c>
      <c r="K137" s="278">
        <f>'Initial unit rates'!K135</f>
        <v>0.51126174856083073</v>
      </c>
      <c r="L137" s="278">
        <f>'Initial unit rates'!L135</f>
        <v>0.5253851479267363</v>
      </c>
      <c r="M137" s="278">
        <f>'Initial unit rates'!M135</f>
        <v>0.5253851479267363</v>
      </c>
      <c r="N137" s="278">
        <f>'Initial unit rates'!N135</f>
        <v>0.44034976595216258</v>
      </c>
      <c r="O137" s="278">
        <f>'Initial unit rates'!O135</f>
        <v>0.35154289203405925</v>
      </c>
      <c r="P137" s="278">
        <f>'Initial unit rates'!P135</f>
        <v>0.35434420915161119</v>
      </c>
      <c r="Q137" s="278">
        <f>'Initial unit rates'!Q135</f>
        <v>0.52438590812226782</v>
      </c>
      <c r="R137" s="280"/>
      <c r="S137" s="280"/>
      <c r="T137" s="280"/>
      <c r="U137" s="280"/>
      <c r="V137" s="280"/>
      <c r="W137" s="280"/>
      <c r="X137" s="280"/>
      <c r="Y137" s="280"/>
      <c r="Z137" s="267"/>
      <c r="AA137" s="267"/>
    </row>
    <row r="138" spans="4:27" x14ac:dyDescent="0.35">
      <c r="E138" t="s">
        <v>191</v>
      </c>
      <c r="G138" t="s">
        <v>269</v>
      </c>
      <c r="H138" s="267"/>
      <c r="I138" s="267"/>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68"/>
      <c r="S138" s="268"/>
      <c r="T138" s="268"/>
      <c r="U138" s="268"/>
      <c r="V138" s="268"/>
      <c r="W138" s="268"/>
      <c r="X138" s="268"/>
      <c r="Y138" s="268"/>
      <c r="Z138" s="267"/>
      <c r="AA138" s="267"/>
    </row>
    <row r="139" spans="4:27" x14ac:dyDescent="0.35">
      <c r="E139" t="s">
        <v>192</v>
      </c>
      <c r="G139" t="s">
        <v>269</v>
      </c>
      <c r="H139" s="267"/>
      <c r="I139" s="267"/>
      <c r="J139" s="279">
        <f>'Initial unit rates'!J137</f>
        <v>0</v>
      </c>
      <c r="K139" s="279">
        <f>'Initial unit rates'!K137</f>
        <v>0</v>
      </c>
      <c r="L139" s="279">
        <f>'Initial unit rates'!L137</f>
        <v>0</v>
      </c>
      <c r="M139" s="279">
        <f>'Initial unit rates'!M137</f>
        <v>0</v>
      </c>
      <c r="N139" s="279">
        <f>'Initial unit rates'!N137</f>
        <v>0</v>
      </c>
      <c r="O139" s="279">
        <f>'Initial unit rates'!O137</f>
        <v>0</v>
      </c>
      <c r="P139" s="279">
        <f>'Initial unit rates'!P137</f>
        <v>0</v>
      </c>
      <c r="Q139" s="279">
        <f>'Initial unit rates'!Q137</f>
        <v>0</v>
      </c>
      <c r="R139" s="268"/>
      <c r="S139" s="268"/>
      <c r="T139" s="268"/>
      <c r="U139" s="268"/>
      <c r="V139" s="268"/>
      <c r="W139" s="268"/>
      <c r="X139" s="268"/>
      <c r="Y139" s="268"/>
      <c r="Z139" s="267"/>
      <c r="AA139" s="267"/>
    </row>
    <row r="140" spans="4:27" x14ac:dyDescent="0.35">
      <c r="E140" t="s">
        <v>193</v>
      </c>
      <c r="G140" t="s">
        <v>269</v>
      </c>
      <c r="H140" s="267"/>
      <c r="I140" s="267"/>
      <c r="J140" s="279">
        <f>'Initial unit rates'!J138</f>
        <v>0</v>
      </c>
      <c r="K140" s="279">
        <f>'Initial unit rates'!K138</f>
        <v>0</v>
      </c>
      <c r="L140" s="279">
        <f>'Initial unit rates'!L138</f>
        <v>0</v>
      </c>
      <c r="M140" s="279">
        <f>'Initial unit rates'!M138</f>
        <v>0</v>
      </c>
      <c r="N140" s="279">
        <f>'Initial unit rates'!N138</f>
        <v>0</v>
      </c>
      <c r="O140" s="279">
        <f>'Initial unit rates'!O138</f>
        <v>0</v>
      </c>
      <c r="P140" s="279">
        <f>'Initial unit rates'!P138</f>
        <v>0</v>
      </c>
      <c r="Q140" s="279">
        <f>'Initial unit rates'!Q138</f>
        <v>0</v>
      </c>
      <c r="R140" s="268"/>
      <c r="S140" s="268"/>
      <c r="T140" s="268"/>
      <c r="U140" s="268"/>
      <c r="V140" s="268"/>
      <c r="W140" s="268"/>
      <c r="X140" s="268"/>
      <c r="Y140" s="268"/>
      <c r="Z140" s="267"/>
      <c r="AA140" s="267"/>
    </row>
    <row r="141" spans="4:27" x14ac:dyDescent="0.35">
      <c r="E141" t="s">
        <v>194</v>
      </c>
      <c r="G141" t="s">
        <v>269</v>
      </c>
      <c r="H141" s="267"/>
      <c r="I141" s="267"/>
      <c r="J141" s="279">
        <f>'Initial unit rates'!J139</f>
        <v>0.16311033092071758</v>
      </c>
      <c r="K141" s="279">
        <f>'Initial unit rates'!K139</f>
        <v>0.16311033092071758</v>
      </c>
      <c r="L141" s="279">
        <f>'Initial unit rates'!L139</f>
        <v>0.16761618795145181</v>
      </c>
      <c r="M141" s="279">
        <f>'Initial unit rates'!M139</f>
        <v>0.16761618795145181</v>
      </c>
      <c r="N141" s="279">
        <f>'Initial unit rates'!N139</f>
        <v>0.14048693501421189</v>
      </c>
      <c r="O141" s="279">
        <f>'Initial unit rates'!O139</f>
        <v>0.11215444459498627</v>
      </c>
      <c r="P141" s="279">
        <f>'Initial unit rates'!P139</f>
        <v>0.11304816246717987</v>
      </c>
      <c r="Q141" s="279">
        <f>'Initial unit rates'!Q139</f>
        <v>0.16729739559971649</v>
      </c>
      <c r="R141" s="268"/>
      <c r="S141" s="268"/>
      <c r="T141" s="268"/>
      <c r="U141" s="268"/>
      <c r="V141" s="268"/>
      <c r="W141" s="268"/>
      <c r="X141" s="268"/>
      <c r="Y141" s="268"/>
      <c r="Z141" s="267"/>
      <c r="AA141" s="267"/>
    </row>
    <row r="142" spans="4:27" x14ac:dyDescent="0.35">
      <c r="E142" t="s">
        <v>195</v>
      </c>
      <c r="G142" t="s">
        <v>269</v>
      </c>
      <c r="H142" s="267"/>
      <c r="I142" s="267"/>
      <c r="J142" s="279">
        <f>'Initial unit rates'!J140</f>
        <v>0.14758162477453315</v>
      </c>
      <c r="K142" s="279">
        <f>'Initial unit rates'!K140</f>
        <v>0.14758162477453315</v>
      </c>
      <c r="L142" s="279">
        <f>'Initial unit rates'!L140</f>
        <v>0.15165850756818489</v>
      </c>
      <c r="M142" s="279">
        <f>'Initial unit rates'!M140</f>
        <v>0.15165850756818489</v>
      </c>
      <c r="N142" s="279">
        <f>'Initial unit rates'!N140</f>
        <v>0.12711205974482018</v>
      </c>
      <c r="O142" s="279">
        <f>'Initial unit rates'!O140</f>
        <v>0.10147692709334741</v>
      </c>
      <c r="P142" s="279">
        <f>'Initial unit rates'!P140</f>
        <v>0.10228555972209538</v>
      </c>
      <c r="Q142" s="279">
        <f>'Initial unit rates'!Q140</f>
        <v>0.15137006542617448</v>
      </c>
      <c r="R142" s="268"/>
      <c r="S142" s="268"/>
      <c r="T142" s="268"/>
      <c r="U142" s="268"/>
      <c r="V142" s="268"/>
      <c r="W142" s="268"/>
      <c r="X142" s="268"/>
      <c r="Y142" s="268"/>
      <c r="Z142" s="267"/>
      <c r="AA142" s="267"/>
    </row>
    <row r="143" spans="4:27" x14ac:dyDescent="0.35">
      <c r="E143" t="s">
        <v>196</v>
      </c>
      <c r="G143" t="s">
        <v>269</v>
      </c>
      <c r="H143" s="267"/>
      <c r="I143" s="267"/>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68"/>
      <c r="S143" s="268"/>
      <c r="T143" s="268"/>
      <c r="U143" s="268"/>
      <c r="V143" s="268"/>
      <c r="W143" s="268"/>
      <c r="X143" s="268"/>
      <c r="Y143" s="268"/>
      <c r="Z143" s="267"/>
      <c r="AA143" s="267"/>
    </row>
    <row r="144" spans="4:27" x14ac:dyDescent="0.35">
      <c r="E144" t="s">
        <v>197</v>
      </c>
      <c r="G144" t="s">
        <v>269</v>
      </c>
      <c r="H144" s="267"/>
      <c r="I144" s="267"/>
      <c r="J144" s="279">
        <f>'Initial unit rates'!J142</f>
        <v>0.60984480633655702</v>
      </c>
      <c r="K144" s="279">
        <f>'Initial unit rates'!K142</f>
        <v>0.60984480633655702</v>
      </c>
      <c r="L144" s="279">
        <f>'Initial unit rates'!L142</f>
        <v>0.62669152286749208</v>
      </c>
      <c r="M144" s="279">
        <f>'Initial unit rates'!M142</f>
        <v>0.62669152286749208</v>
      </c>
      <c r="N144" s="279">
        <f>'Initial unit rates'!N142</f>
        <v>0.52525935784044453</v>
      </c>
      <c r="O144" s="279">
        <f>'Initial unit rates'!O142</f>
        <v>0.41932847023073527</v>
      </c>
      <c r="P144" s="279">
        <f>'Initial unit rates'!P142</f>
        <v>0.42266994590312756</v>
      </c>
      <c r="Q144" s="279">
        <f>'Initial unit rates'!Q142</f>
        <v>0.62549960658047221</v>
      </c>
      <c r="R144" s="268"/>
      <c r="S144" s="268"/>
      <c r="T144" s="268"/>
      <c r="U144" s="268"/>
      <c r="V144" s="268"/>
      <c r="W144" s="268"/>
      <c r="X144" s="268"/>
      <c r="Y144" s="268"/>
      <c r="Z144" s="267"/>
      <c r="AA144" s="267"/>
    </row>
    <row r="145" spans="2:27" x14ac:dyDescent="0.35">
      <c r="E145" t="s">
        <v>198</v>
      </c>
      <c r="G145" t="s">
        <v>269</v>
      </c>
      <c r="H145" s="267"/>
      <c r="I145" s="267"/>
      <c r="J145" s="279">
        <f>'Initial unit rates'!J143</f>
        <v>0.14767487501619023</v>
      </c>
      <c r="K145" s="279">
        <f>'Initial unit rates'!K143</f>
        <v>0.14767487501619023</v>
      </c>
      <c r="L145" s="279">
        <f>'Initial unit rates'!L143</f>
        <v>0.15175433381011499</v>
      </c>
      <c r="M145" s="279">
        <f>'Initial unit rates'!M143</f>
        <v>0.15175433381011499</v>
      </c>
      <c r="N145" s="279">
        <f>'Initial unit rates'!N143</f>
        <v>0.12719237618195683</v>
      </c>
      <c r="O145" s="279">
        <f>'Initial unit rates'!O143</f>
        <v>0.10154104583433925</v>
      </c>
      <c r="P145" s="279">
        <f>'Initial unit rates'!P143</f>
        <v>0</v>
      </c>
      <c r="Q145" s="279">
        <f>'Initial unit rates'!Q143</f>
        <v>0.15146570941438914</v>
      </c>
      <c r="R145" s="268"/>
      <c r="S145" s="268"/>
      <c r="T145" s="268"/>
      <c r="U145" s="268"/>
      <c r="V145" s="268"/>
      <c r="W145" s="268"/>
      <c r="X145" s="268"/>
      <c r="Y145" s="268"/>
      <c r="Z145" s="267"/>
      <c r="AA145" s="267"/>
    </row>
    <row r="146" spans="2:27" x14ac:dyDescent="0.35">
      <c r="E146" t="s">
        <v>199</v>
      </c>
      <c r="G146" t="s">
        <v>269</v>
      </c>
      <c r="H146" s="267"/>
      <c r="I146" s="267"/>
      <c r="J146" s="279">
        <f>'Initial unit rates'!J144</f>
        <v>0.35055194492103919</v>
      </c>
      <c r="K146" s="279">
        <f>'Initial unit rates'!K144</f>
        <v>0.35055194492103919</v>
      </c>
      <c r="L146" s="279">
        <f>'Initial unit rates'!L144</f>
        <v>0.36023580085305729</v>
      </c>
      <c r="M146" s="279">
        <f>'Initial unit rates'!M144</f>
        <v>0.36023580085305729</v>
      </c>
      <c r="N146" s="279">
        <f>'Initial unit rates'!N144</f>
        <v>0.30193040518791781</v>
      </c>
      <c r="O146" s="279">
        <f>'Initial unit rates'!O144</f>
        <v>0</v>
      </c>
      <c r="P146" s="279">
        <f>'Initial unit rates'!P144</f>
        <v>0</v>
      </c>
      <c r="Q146" s="279">
        <f>'Initial unit rates'!Q144</f>
        <v>0.35955066166968397</v>
      </c>
      <c r="R146" s="268"/>
      <c r="S146" s="268"/>
      <c r="T146" s="268"/>
      <c r="U146" s="268"/>
      <c r="V146" s="268"/>
      <c r="W146" s="268"/>
      <c r="X146" s="268"/>
      <c r="Y146" s="268"/>
      <c r="Z146" s="267"/>
      <c r="AA146" s="267"/>
    </row>
    <row r="147" spans="2:27" x14ac:dyDescent="0.35">
      <c r="E147" t="s">
        <v>376</v>
      </c>
      <c r="G147" t="s">
        <v>269</v>
      </c>
      <c r="H147" s="267"/>
      <c r="I147" s="267"/>
      <c r="J147" s="268"/>
      <c r="K147" s="268"/>
      <c r="L147" s="268"/>
      <c r="M147" s="268"/>
      <c r="N147" s="268"/>
      <c r="O147" s="268"/>
      <c r="P147" s="268"/>
      <c r="Q147" s="268"/>
      <c r="R147" s="268"/>
      <c r="S147" s="268"/>
      <c r="T147" s="268"/>
      <c r="U147" s="268"/>
      <c r="V147" s="268"/>
      <c r="W147" s="268"/>
      <c r="X147" s="268"/>
      <c r="Y147" s="268"/>
      <c r="Z147" s="267"/>
      <c r="AA147" s="267"/>
    </row>
    <row r="148" spans="2:27" x14ac:dyDescent="0.35">
      <c r="E148" s="37" t="s">
        <v>377</v>
      </c>
      <c r="F148" s="37"/>
      <c r="G148" s="37" t="s">
        <v>269</v>
      </c>
      <c r="H148" s="269"/>
      <c r="I148" s="269"/>
      <c r="J148" s="270"/>
      <c r="K148" s="270"/>
      <c r="L148" s="270"/>
      <c r="M148" s="270"/>
      <c r="N148" s="270"/>
      <c r="O148" s="270"/>
      <c r="P148" s="270"/>
      <c r="Q148" s="270"/>
      <c r="R148" s="270"/>
      <c r="S148" s="270"/>
      <c r="T148" s="270"/>
      <c r="U148" s="270"/>
      <c r="V148" s="270"/>
      <c r="W148" s="270"/>
      <c r="X148" s="270"/>
      <c r="Y148" s="270"/>
      <c r="Z148" s="267"/>
      <c r="AA148" s="267"/>
    </row>
    <row r="149" spans="2:27" x14ac:dyDescent="0.35">
      <c r="D149"/>
      <c r="E149"/>
      <c r="J149" s="89"/>
      <c r="K149" s="89"/>
      <c r="L149" s="89"/>
      <c r="M149" s="89"/>
      <c r="N149" s="89"/>
      <c r="O149" s="89"/>
      <c r="P149" s="89"/>
      <c r="Q149" s="89"/>
      <c r="R149" s="89"/>
      <c r="S149" s="89"/>
      <c r="T149" s="89"/>
      <c r="U149" s="89"/>
      <c r="V149" s="89"/>
      <c r="W149" s="89"/>
      <c r="X149" s="89"/>
      <c r="Y149" s="89"/>
    </row>
    <row r="150" spans="2:27" x14ac:dyDescent="0.35">
      <c r="B150" s="30" t="s">
        <v>675</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35">
      <c r="C151" s="205"/>
      <c r="D151"/>
      <c r="E151"/>
      <c r="J151" s="89"/>
      <c r="K151" s="89"/>
      <c r="L151" s="89"/>
      <c r="M151" s="89"/>
      <c r="N151" s="89"/>
      <c r="O151" s="89"/>
      <c r="P151" s="89"/>
      <c r="Q151" s="89"/>
      <c r="R151" s="89"/>
      <c r="S151" s="89"/>
      <c r="T151" s="89"/>
      <c r="U151" s="89"/>
      <c r="V151" s="89"/>
      <c r="W151" s="89"/>
      <c r="X151" s="89"/>
      <c r="Y151" s="89"/>
    </row>
    <row r="152" spans="2:27" x14ac:dyDescent="0.35">
      <c r="C152" s="29" t="s">
        <v>676</v>
      </c>
      <c r="D152"/>
      <c r="E152"/>
      <c r="J152" s="89"/>
      <c r="K152" s="89"/>
      <c r="L152" s="89"/>
      <c r="M152" s="89"/>
      <c r="N152" s="89"/>
      <c r="O152" s="89"/>
      <c r="P152" s="89"/>
      <c r="Q152" s="89"/>
      <c r="R152" s="89"/>
      <c r="S152" s="89"/>
      <c r="T152" s="89"/>
      <c r="U152" s="89"/>
      <c r="V152" s="89"/>
      <c r="W152" s="89"/>
      <c r="X152" s="89"/>
      <c r="Y152" s="89"/>
    </row>
    <row r="153" spans="2:27" x14ac:dyDescent="0.35">
      <c r="C153" s="29" t="s">
        <v>677</v>
      </c>
      <c r="D153"/>
      <c r="E153"/>
      <c r="J153" s="89"/>
      <c r="K153" s="89"/>
      <c r="L153" s="89"/>
      <c r="M153" s="89"/>
      <c r="N153" s="89"/>
      <c r="O153" s="89"/>
      <c r="P153" s="89"/>
      <c r="Q153" s="89"/>
      <c r="R153" s="89"/>
      <c r="S153" s="89"/>
      <c r="T153" s="89"/>
      <c r="U153" s="89"/>
      <c r="V153" s="89"/>
      <c r="W153" s="89"/>
      <c r="X153" s="89"/>
      <c r="Y153" s="89"/>
    </row>
    <row r="154" spans="2:27" x14ac:dyDescent="0.35">
      <c r="C154" s="205"/>
      <c r="D154"/>
      <c r="E154"/>
      <c r="J154" s="89"/>
      <c r="K154" s="89"/>
      <c r="L154" s="89"/>
      <c r="M154" s="89"/>
      <c r="N154" s="89"/>
      <c r="O154" s="89"/>
      <c r="P154" s="89"/>
      <c r="Q154" s="89"/>
      <c r="R154" s="89"/>
      <c r="S154" s="89"/>
      <c r="T154" s="89"/>
      <c r="U154" s="89"/>
      <c r="V154" s="89"/>
      <c r="W154" s="89"/>
      <c r="X154" s="89"/>
      <c r="Y154" s="89"/>
    </row>
    <row r="155" spans="2:27" x14ac:dyDescent="0.35">
      <c r="C155" s="31" t="str">
        <f ca="1">INDEX('Version control'!$H$34:$H$57,MATCH($A$1,'Version control'!$F$34:$F$57,0),1)&amp;"-C: Yardstick charge used for generation"</f>
        <v>Section 113-C: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35">
      <c r="D156" s="32"/>
      <c r="E156" s="32"/>
      <c r="I156" t="s">
        <v>154</v>
      </c>
      <c r="J156" s="89"/>
      <c r="K156" s="89"/>
      <c r="L156" s="89"/>
      <c r="M156" s="89"/>
      <c r="N156" s="89"/>
      <c r="O156" s="89"/>
      <c r="P156" s="89"/>
      <c r="Q156" s="89"/>
      <c r="R156" s="89"/>
      <c r="S156" s="89"/>
      <c r="T156" s="89"/>
      <c r="U156" s="89"/>
      <c r="V156" s="89"/>
      <c r="W156" s="89"/>
      <c r="X156" s="89"/>
      <c r="Y156" s="89"/>
      <c r="AA156" t="s">
        <v>678</v>
      </c>
    </row>
    <row r="157" spans="2:27" x14ac:dyDescent="0.35">
      <c r="D157"/>
      <c r="E157" s="32" t="s">
        <v>621</v>
      </c>
      <c r="J157" s="89"/>
      <c r="K157" s="89"/>
      <c r="L157" s="89"/>
      <c r="M157" s="89"/>
      <c r="N157" s="89"/>
      <c r="O157" s="89"/>
      <c r="P157" s="89"/>
      <c r="Q157" s="89"/>
      <c r="R157" s="89"/>
      <c r="S157" s="89"/>
      <c r="T157" s="89"/>
      <c r="U157" s="89"/>
      <c r="V157" s="89"/>
      <c r="W157" s="89"/>
      <c r="X157" s="89"/>
      <c r="Y157" s="89"/>
    </row>
    <row r="158" spans="2:27" x14ac:dyDescent="0.35">
      <c r="D158"/>
      <c r="F158" s="23" t="s">
        <v>189</v>
      </c>
      <c r="G158" s="23" t="s">
        <v>269</v>
      </c>
      <c r="H158" s="266"/>
      <c r="I158" s="266"/>
      <c r="J158" s="280"/>
      <c r="K158" s="280"/>
      <c r="L158" s="280"/>
      <c r="M158" s="280"/>
      <c r="N158" s="280"/>
      <c r="O158" s="280"/>
      <c r="P158" s="280"/>
      <c r="Q158" s="280"/>
      <c r="R158" s="280"/>
      <c r="S158" s="280"/>
      <c r="T158" s="280"/>
      <c r="U158" s="280"/>
      <c r="V158" s="280"/>
      <c r="W158" s="280"/>
      <c r="X158" s="280"/>
      <c r="Y158" s="280"/>
      <c r="Z158" s="267"/>
      <c r="AA158" s="267"/>
    </row>
    <row r="159" spans="2:27" x14ac:dyDescent="0.35">
      <c r="D159"/>
      <c r="F159" t="s">
        <v>191</v>
      </c>
      <c r="G159" t="s">
        <v>269</v>
      </c>
      <c r="H159" s="267"/>
      <c r="I159" s="267"/>
      <c r="J159" s="268"/>
      <c r="K159" s="268"/>
      <c r="L159" s="268"/>
      <c r="M159" s="268"/>
      <c r="N159" s="268"/>
      <c r="O159" s="268"/>
      <c r="P159" s="268"/>
      <c r="Q159" s="268"/>
      <c r="R159" s="268"/>
      <c r="S159" s="268"/>
      <c r="T159" s="268"/>
      <c r="U159" s="268"/>
      <c r="V159" s="268"/>
      <c r="W159" s="268"/>
      <c r="X159" s="268"/>
      <c r="Y159" s="268"/>
      <c r="Z159" s="267"/>
      <c r="AA159" s="267"/>
    </row>
    <row r="160" spans="2:27" x14ac:dyDescent="0.35">
      <c r="D160"/>
      <c r="F160" t="s">
        <v>192</v>
      </c>
      <c r="G160" t="s">
        <v>269</v>
      </c>
      <c r="H160" s="267"/>
      <c r="I160" s="267"/>
      <c r="J160" s="268"/>
      <c r="K160" s="268"/>
      <c r="L160" s="268"/>
      <c r="M160" s="268"/>
      <c r="N160" s="268"/>
      <c r="O160" s="268"/>
      <c r="P160" s="268"/>
      <c r="Q160" s="268"/>
      <c r="R160" s="282">
        <f t="shared" ref="R160:S160" si="0">hundred * $H51 * R95 / $H37 * (1 - R109) / hours_in_year</f>
        <v>0</v>
      </c>
      <c r="S160" s="282">
        <f t="shared" si="0"/>
        <v>0</v>
      </c>
      <c r="T160" s="282">
        <f t="shared" ref="T160:U160" si="1">hundred * $H51 * T95 / $H37 * (1 - T109) / hours_in_year</f>
        <v>0</v>
      </c>
      <c r="U160" s="282">
        <f t="shared" si="1"/>
        <v>0</v>
      </c>
      <c r="V160" s="282">
        <f t="shared" ref="V160:W160" si="2">hundred * $H51 * V95 / $H37 * (1 - V109) / hours_in_year</f>
        <v>0</v>
      </c>
      <c r="W160" s="282">
        <f t="shared" si="2"/>
        <v>0</v>
      </c>
      <c r="X160" s="282">
        <f t="shared" ref="X160:Y160" si="3">hundred * $H51 * X95 / $H37 * (1 - X109) / hours_in_year</f>
        <v>0</v>
      </c>
      <c r="Y160" s="282">
        <f t="shared" si="3"/>
        <v>0</v>
      </c>
      <c r="Z160" s="267"/>
      <c r="AA160" s="267"/>
    </row>
    <row r="161" spans="5:27" customFormat="1" x14ac:dyDescent="0.35">
      <c r="E161" s="2"/>
      <c r="F161" t="s">
        <v>193</v>
      </c>
      <c r="G161" t="s">
        <v>269</v>
      </c>
      <c r="H161" s="267"/>
      <c r="I161" s="267"/>
      <c r="J161" s="268"/>
      <c r="K161" s="268"/>
      <c r="L161" s="268"/>
      <c r="M161" s="268"/>
      <c r="N161" s="268"/>
      <c r="O161" s="268"/>
      <c r="P161" s="268"/>
      <c r="Q161" s="268"/>
      <c r="R161" s="282">
        <f t="shared" ref="R161:S161" si="4">hundred * $H52 * R96 / $H38 * (1 - R110) / hours_in_year</f>
        <v>0</v>
      </c>
      <c r="S161" s="282">
        <f t="shared" si="4"/>
        <v>0</v>
      </c>
      <c r="T161" s="282">
        <f t="shared" ref="T161:U161" si="5">hundred * $H52 * T96 / $H38 * (1 - T110) / hours_in_year</f>
        <v>0</v>
      </c>
      <c r="U161" s="282">
        <f t="shared" si="5"/>
        <v>0</v>
      </c>
      <c r="V161" s="282">
        <f t="shared" ref="V161:W161" si="6">hundred * $H52 * V96 / $H38 * (1 - V110) / hours_in_year</f>
        <v>0</v>
      </c>
      <c r="W161" s="282">
        <f t="shared" si="6"/>
        <v>0</v>
      </c>
      <c r="X161" s="282">
        <f t="shared" ref="X161:Y161" si="7">hundred * $H52 * X96 / $H38 * (1 - X110) / hours_in_year</f>
        <v>0</v>
      </c>
      <c r="Y161" s="282">
        <f t="shared" si="7"/>
        <v>0</v>
      </c>
      <c r="Z161" s="267"/>
      <c r="AA161" s="267"/>
    </row>
    <row r="162" spans="5:27" customFormat="1" x14ac:dyDescent="0.35">
      <c r="E162" s="2"/>
      <c r="F162" t="s">
        <v>194</v>
      </c>
      <c r="G162" t="s">
        <v>269</v>
      </c>
      <c r="H162" s="267"/>
      <c r="I162" s="267"/>
      <c r="J162" s="268"/>
      <c r="K162" s="268"/>
      <c r="L162" s="268"/>
      <c r="M162" s="268"/>
      <c r="N162" s="268"/>
      <c r="O162" s="268"/>
      <c r="P162" s="268"/>
      <c r="Q162" s="268"/>
      <c r="R162" s="282">
        <f t="shared" ref="R162:S162" si="8">hundred * $H53 * R97 / $H39 * (1 - R111) / hours_in_year</f>
        <v>-0.11096977567281442</v>
      </c>
      <c r="S162" s="282">
        <f t="shared" si="8"/>
        <v>-0.10713278615910472</v>
      </c>
      <c r="T162" s="282">
        <f t="shared" ref="T162:U162" si="9">hundred * $H53 * T97 / $H39 * (1 - T111) / hours_in_year</f>
        <v>-0.11096977567281442</v>
      </c>
      <c r="U162" s="282">
        <f t="shared" si="9"/>
        <v>-0.11096977567281442</v>
      </c>
      <c r="V162" s="282">
        <f t="shared" ref="V162:W162" si="10">hundred * $H53 * V97 / $H39 * (1 - V111) / hours_in_year</f>
        <v>-0.10713278615910472</v>
      </c>
      <c r="W162" s="282">
        <f t="shared" si="10"/>
        <v>-0.10713278615910472</v>
      </c>
      <c r="X162" s="282">
        <f t="shared" ref="X162:Y162" si="11">hundred * $H53 * X97 / $H39 * (1 - X111) / hours_in_year</f>
        <v>-0.10415466078055508</v>
      </c>
      <c r="Y162" s="282">
        <f t="shared" si="11"/>
        <v>-0.10415466078055508</v>
      </c>
      <c r="Z162" s="267"/>
      <c r="AA162" s="267"/>
    </row>
    <row r="163" spans="5:27" customFormat="1" x14ac:dyDescent="0.35">
      <c r="E163" s="2"/>
      <c r="F163" t="s">
        <v>195</v>
      </c>
      <c r="G163" t="s">
        <v>269</v>
      </c>
      <c r="H163" s="267"/>
      <c r="I163" s="267"/>
      <c r="J163" s="268"/>
      <c r="K163" s="268"/>
      <c r="L163" s="268"/>
      <c r="M163" s="268"/>
      <c r="N163" s="268"/>
      <c r="O163" s="268"/>
      <c r="P163" s="268"/>
      <c r="Q163" s="268"/>
      <c r="R163" s="282">
        <f t="shared" ref="R163:S163" si="12">hundred * $H54 * R98 / $H40 * (1 - R112) / hours_in_year</f>
        <v>-0.10063465172241041</v>
      </c>
      <c r="S163" s="282">
        <f t="shared" si="12"/>
        <v>-9.7155018632827522E-2</v>
      </c>
      <c r="T163" s="282">
        <f t="shared" ref="T163:U163" si="13">hundred * $H54 * T98 / $H40 * (1 - T112) / hours_in_year</f>
        <v>-0.10063465172241041</v>
      </c>
      <c r="U163" s="282">
        <f t="shared" si="13"/>
        <v>-0.10063465172241041</v>
      </c>
      <c r="V163" s="282">
        <f t="shared" ref="V163:W163" si="14">hundred * $H54 * V98 / $H40 * (1 - V112) / hours_in_year</f>
        <v>-9.7155018632827522E-2</v>
      </c>
      <c r="W163" s="282">
        <f t="shared" si="14"/>
        <v>-9.7155018632827522E-2</v>
      </c>
      <c r="X163" s="282">
        <f t="shared" ref="X163:Y163" si="15">hundred * $H54 * X98 / $H40 * (1 - X112) / hours_in_year</f>
        <v>-9.4632671047897035E-2</v>
      </c>
      <c r="Y163" s="282">
        <f t="shared" si="15"/>
        <v>-9.4632671047897035E-2</v>
      </c>
      <c r="Z163" s="267"/>
      <c r="AA163" s="267"/>
    </row>
    <row r="164" spans="5:27" customFormat="1" x14ac:dyDescent="0.35">
      <c r="E164" s="2"/>
      <c r="F164" t="s">
        <v>196</v>
      </c>
      <c r="G164" t="s">
        <v>269</v>
      </c>
      <c r="H164" s="267"/>
      <c r="I164" s="267"/>
      <c r="J164" s="268"/>
      <c r="K164" s="268"/>
      <c r="L164" s="268"/>
      <c r="M164" s="268"/>
      <c r="N164" s="268"/>
      <c r="O164" s="268"/>
      <c r="P164" s="268"/>
      <c r="Q164" s="268"/>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7"/>
      <c r="AA164" s="267"/>
    </row>
    <row r="165" spans="5:27" customFormat="1" x14ac:dyDescent="0.35">
      <c r="E165" s="2"/>
      <c r="F165" t="s">
        <v>197</v>
      </c>
      <c r="G165" t="s">
        <v>269</v>
      </c>
      <c r="H165" s="267"/>
      <c r="I165" s="267"/>
      <c r="J165" s="268"/>
      <c r="K165" s="268"/>
      <c r="L165" s="268"/>
      <c r="M165" s="268"/>
      <c r="N165" s="268"/>
      <c r="O165" s="268"/>
      <c r="P165" s="268"/>
      <c r="Q165" s="268"/>
      <c r="R165" s="282">
        <f t="shared" ref="R165:S165" si="20">hundred * $H56 * R100 / $H42 * (1 - R114) / hours_in_year</f>
        <v>-0.24001840451287779</v>
      </c>
      <c r="S165" s="282">
        <f t="shared" si="20"/>
        <v>-0.23171931500287835</v>
      </c>
      <c r="T165" s="282">
        <f t="shared" ref="T165:U165" si="21">hundred * $H56 * T100 / $H42 * (1 - T114) / hours_in_year</f>
        <v>-0.24001840451287779</v>
      </c>
      <c r="U165" s="282">
        <f t="shared" si="21"/>
        <v>-0.24001840451287779</v>
      </c>
      <c r="V165" s="282">
        <f t="shared" ref="V165:W165" si="22">hundred * $H56 * V100 / $H42 * (1 - V114) / hours_in_year</f>
        <v>-0.23171931500287835</v>
      </c>
      <c r="W165" s="282">
        <f t="shared" si="22"/>
        <v>-0.23171931500287835</v>
      </c>
      <c r="X165" s="282">
        <f t="shared" ref="X165:Y165" si="23">hundred * $H56 * X100 / $H42 * (1 - X114) / hours_in_year</f>
        <v>-0.24076324640395455</v>
      </c>
      <c r="Y165" s="282">
        <f t="shared" si="23"/>
        <v>-0.24076324640395455</v>
      </c>
      <c r="Z165" s="267"/>
      <c r="AA165" s="267"/>
    </row>
    <row r="166" spans="5:27" customFormat="1" x14ac:dyDescent="0.35">
      <c r="E166" s="2"/>
      <c r="F166" t="s">
        <v>198</v>
      </c>
      <c r="G166" t="s">
        <v>269</v>
      </c>
      <c r="H166" s="267"/>
      <c r="I166" s="267"/>
      <c r="J166" s="268"/>
      <c r="K166" s="268"/>
      <c r="L166" s="268"/>
      <c r="M166" s="268"/>
      <c r="N166" s="268"/>
      <c r="O166" s="268"/>
      <c r="P166" s="268"/>
      <c r="Q166" s="268"/>
      <c r="R166" s="282">
        <f t="shared" ref="R166:S166" si="24">hundred * $H57 * R101 / $H43 * (1 - R115) / hours_in_year</f>
        <v>-2.1982405809917133E-2</v>
      </c>
      <c r="S166" s="282">
        <f t="shared" si="24"/>
        <v>-2.1222322624496887E-2</v>
      </c>
      <c r="T166" s="282">
        <f t="shared" ref="T166:U166" si="25">hundred * $H57 * T101 / $H43 * (1 - T115) / hours_in_year</f>
        <v>-2.1982405809917133E-2</v>
      </c>
      <c r="U166" s="282">
        <f t="shared" si="25"/>
        <v>-2.1982405809917133E-2</v>
      </c>
      <c r="V166" s="282">
        <f t="shared" ref="V166:W166" si="26">hundred * $H57 * V101 / $H43 * (1 - V115) / hours_in_year</f>
        <v>-2.1222322624496887E-2</v>
      </c>
      <c r="W166" s="282">
        <f t="shared" si="26"/>
        <v>-2.1222322624496887E-2</v>
      </c>
      <c r="X166" s="282">
        <f t="shared" ref="X166:Y166" si="27">hundred * $H57 * X101 / $H43 * (1 - X115) / hours_in_year</f>
        <v>0</v>
      </c>
      <c r="Y166" s="282">
        <f t="shared" si="27"/>
        <v>0</v>
      </c>
      <c r="Z166" s="267"/>
      <c r="AA166" s="267"/>
    </row>
    <row r="167" spans="5:27" customFormat="1" x14ac:dyDescent="0.35">
      <c r="E167" s="2"/>
      <c r="F167" t="s">
        <v>199</v>
      </c>
      <c r="G167" t="s">
        <v>269</v>
      </c>
      <c r="H167" s="267"/>
      <c r="I167" s="267"/>
      <c r="J167" s="268"/>
      <c r="K167" s="268"/>
      <c r="L167" s="268"/>
      <c r="M167" s="268"/>
      <c r="N167" s="268"/>
      <c r="O167" s="268"/>
      <c r="P167" s="268"/>
      <c r="Q167" s="268"/>
      <c r="R167" s="282">
        <f t="shared" ref="R167:S167" si="28">hundred * $H58 * R102 / $H44 * (1 - R116) / hours_in_year</f>
        <v>-7.9831015532496573E-3</v>
      </c>
      <c r="S167" s="282">
        <f t="shared" si="28"/>
        <v>0</v>
      </c>
      <c r="T167" s="282">
        <f t="shared" ref="T167:U167" si="29">hundred * $H58 * T102 / $H44 * (1 - T116) / hours_in_year</f>
        <v>-7.9831015532496573E-3</v>
      </c>
      <c r="U167" s="282">
        <f t="shared" si="29"/>
        <v>-7.9831015532496573E-3</v>
      </c>
      <c r="V167" s="282">
        <f t="shared" ref="V167:W167" si="30">hundred * $H58 * V102 / $H44 * (1 - V116) / hours_in_year</f>
        <v>0</v>
      </c>
      <c r="W167" s="282">
        <f t="shared" si="30"/>
        <v>0</v>
      </c>
      <c r="X167" s="282">
        <f t="shared" ref="X167:Y167" si="31">hundred * $H58 * X102 / $H44 * (1 - X116) / hours_in_year</f>
        <v>0</v>
      </c>
      <c r="Y167" s="282">
        <f t="shared" si="31"/>
        <v>0</v>
      </c>
      <c r="Z167" s="267"/>
      <c r="AA167" s="267"/>
    </row>
    <row r="168" spans="5:27" customFormat="1" x14ac:dyDescent="0.35">
      <c r="E168" s="2"/>
      <c r="F168" t="s">
        <v>376</v>
      </c>
      <c r="G168" t="s">
        <v>269</v>
      </c>
      <c r="H168" s="267"/>
      <c r="I168" s="267"/>
      <c r="J168" s="268"/>
      <c r="K168" s="268"/>
      <c r="L168" s="268"/>
      <c r="M168" s="268"/>
      <c r="N168" s="268"/>
      <c r="O168" s="268"/>
      <c r="P168" s="268"/>
      <c r="Q168" s="268"/>
      <c r="R168" s="268"/>
      <c r="S168" s="268"/>
      <c r="T168" s="268"/>
      <c r="U168" s="268"/>
      <c r="V168" s="268"/>
      <c r="W168" s="268"/>
      <c r="X168" s="268"/>
      <c r="Y168" s="268"/>
      <c r="Z168" s="267"/>
      <c r="AA168" s="267"/>
    </row>
    <row r="169" spans="5:27" customFormat="1" x14ac:dyDescent="0.35">
      <c r="E169" s="2"/>
      <c r="F169" s="37" t="s">
        <v>377</v>
      </c>
      <c r="G169" s="37" t="s">
        <v>269</v>
      </c>
      <c r="H169" s="269"/>
      <c r="I169" s="269"/>
      <c r="J169" s="270"/>
      <c r="K169" s="270"/>
      <c r="L169" s="270"/>
      <c r="M169" s="270"/>
      <c r="N169" s="270"/>
      <c r="O169" s="270"/>
      <c r="P169" s="270"/>
      <c r="Q169" s="270"/>
      <c r="R169" s="270"/>
      <c r="S169" s="270"/>
      <c r="T169" s="270"/>
      <c r="U169" s="270"/>
      <c r="V169" s="270"/>
      <c r="W169" s="270"/>
      <c r="X169" s="270"/>
      <c r="Y169" s="270"/>
      <c r="Z169" s="267"/>
      <c r="AA169" s="267"/>
    </row>
    <row r="170" spans="5:27" customFormat="1" x14ac:dyDescent="0.35">
      <c r="E170" s="2"/>
      <c r="J170" s="89"/>
      <c r="K170" s="89"/>
      <c r="L170" s="89"/>
      <c r="M170" s="89"/>
      <c r="N170" s="89"/>
      <c r="O170" s="89"/>
      <c r="P170" s="89"/>
      <c r="Q170" s="89"/>
      <c r="R170" s="89"/>
      <c r="S170" s="89"/>
      <c r="T170" s="89"/>
      <c r="U170" s="89"/>
      <c r="V170" s="89"/>
      <c r="W170" s="89"/>
      <c r="X170" s="89"/>
      <c r="Y170" s="89"/>
    </row>
    <row r="171" spans="5:27" customFormat="1" x14ac:dyDescent="0.35">
      <c r="E171" s="32" t="s">
        <v>622</v>
      </c>
      <c r="J171" s="89"/>
      <c r="K171" s="89"/>
      <c r="L171" s="89"/>
      <c r="M171" s="89"/>
      <c r="N171" s="89"/>
      <c r="O171" s="89"/>
      <c r="P171" s="89"/>
      <c r="Q171" s="89"/>
      <c r="R171" s="89"/>
      <c r="S171" s="89"/>
      <c r="T171" s="89"/>
      <c r="U171" s="89"/>
      <c r="V171" s="89"/>
      <c r="W171" s="89"/>
      <c r="X171" s="89"/>
      <c r="Y171" s="89"/>
    </row>
    <row r="172" spans="5:27" customFormat="1" x14ac:dyDescent="0.35">
      <c r="E172" s="2"/>
      <c r="F172" s="23" t="s">
        <v>189</v>
      </c>
      <c r="G172" s="23" t="s">
        <v>269</v>
      </c>
      <c r="H172" s="266"/>
      <c r="I172" s="266"/>
      <c r="J172" s="280"/>
      <c r="K172" s="280"/>
      <c r="L172" s="280"/>
      <c r="M172" s="280"/>
      <c r="N172" s="280"/>
      <c r="O172" s="280"/>
      <c r="P172" s="280"/>
      <c r="Q172" s="280"/>
      <c r="R172" s="281">
        <f t="shared" ref="R172:S172" si="32">hundred * $H63 * R93 / $H35 / hours_in_year</f>
        <v>-0.31251506142239582</v>
      </c>
      <c r="S172" s="281">
        <f t="shared" si="32"/>
        <v>-0.30170926312025659</v>
      </c>
      <c r="T172" s="281">
        <f t="shared" ref="T172:U172" si="33">hundred * $H63 * T93 / $H35 / hours_in_year</f>
        <v>-0.31251506142239582</v>
      </c>
      <c r="U172" s="281">
        <f t="shared" si="33"/>
        <v>-0.31251506142239582</v>
      </c>
      <c r="V172" s="281">
        <f t="shared" ref="V172:W172" si="34">hundred * $H63 * V93 / $H35 / hours_in_year</f>
        <v>-0.30170926312025659</v>
      </c>
      <c r="W172" s="281">
        <f t="shared" si="34"/>
        <v>-0.30170926312025659</v>
      </c>
      <c r="X172" s="281">
        <f t="shared" ref="X172:Y172" si="35">hundred * $H63 * X93 / $H35 / hours_in_year</f>
        <v>-0.29488454840311601</v>
      </c>
      <c r="Y172" s="281">
        <f t="shared" si="35"/>
        <v>-0.29488454840311601</v>
      </c>
      <c r="Z172" s="267"/>
      <c r="AA172" s="267"/>
    </row>
    <row r="173" spans="5:27" customFormat="1" x14ac:dyDescent="0.35">
      <c r="E173" s="2"/>
      <c r="F173" t="s">
        <v>191</v>
      </c>
      <c r="G173" t="s">
        <v>269</v>
      </c>
      <c r="H173" s="267"/>
      <c r="I173" s="267"/>
      <c r="J173" s="268"/>
      <c r="K173" s="268"/>
      <c r="L173" s="268"/>
      <c r="M173" s="268"/>
      <c r="N173" s="268"/>
      <c r="O173" s="268"/>
      <c r="P173" s="268"/>
      <c r="Q173" s="268"/>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7"/>
      <c r="AA173" s="267"/>
    </row>
    <row r="174" spans="5:27" customFormat="1" x14ac:dyDescent="0.35">
      <c r="E174" s="2"/>
      <c r="F174" t="s">
        <v>192</v>
      </c>
      <c r="G174" t="s">
        <v>269</v>
      </c>
      <c r="H174" s="267"/>
      <c r="I174" s="267"/>
      <c r="J174" s="268"/>
      <c r="K174" s="268"/>
      <c r="L174" s="268"/>
      <c r="M174" s="268"/>
      <c r="N174" s="268"/>
      <c r="O174" s="268"/>
      <c r="P174" s="268"/>
      <c r="Q174" s="268"/>
      <c r="R174" s="282">
        <f t="shared" ref="R174:S174" si="40">hundred * $H65 * R95 / $H37 / hours_in_year</f>
        <v>0</v>
      </c>
      <c r="S174" s="282">
        <f t="shared" si="40"/>
        <v>0</v>
      </c>
      <c r="T174" s="282">
        <f t="shared" ref="T174:U174" si="41">hundred * $H65 * T95 / $H37 / hours_in_year</f>
        <v>0</v>
      </c>
      <c r="U174" s="282">
        <f t="shared" si="41"/>
        <v>0</v>
      </c>
      <c r="V174" s="282">
        <f t="shared" ref="V174:W174" si="42">hundred * $H65 * V95 / $H37 / hours_in_year</f>
        <v>0</v>
      </c>
      <c r="W174" s="282">
        <f t="shared" si="42"/>
        <v>0</v>
      </c>
      <c r="X174" s="282">
        <f t="shared" ref="X174:Y174" si="43">hundred * $H65 * X95 / $H37 / hours_in_year</f>
        <v>0</v>
      </c>
      <c r="Y174" s="282">
        <f t="shared" si="43"/>
        <v>0</v>
      </c>
      <c r="Z174" s="267"/>
      <c r="AA174" s="267"/>
    </row>
    <row r="175" spans="5:27" customFormat="1" x14ac:dyDescent="0.35">
      <c r="E175" s="2"/>
      <c r="F175" t="s">
        <v>193</v>
      </c>
      <c r="G175" t="s">
        <v>269</v>
      </c>
      <c r="H175" s="267"/>
      <c r="I175" s="267"/>
      <c r="J175" s="268"/>
      <c r="K175" s="268"/>
      <c r="L175" s="268"/>
      <c r="M175" s="268"/>
      <c r="N175" s="268"/>
      <c r="O175" s="268"/>
      <c r="P175" s="268"/>
      <c r="Q175" s="268"/>
      <c r="R175" s="282">
        <f t="shared" ref="R175:S175" si="44">hundred * $H66 * R96 / $H38 / hours_in_year</f>
        <v>0</v>
      </c>
      <c r="S175" s="282">
        <f t="shared" si="44"/>
        <v>0</v>
      </c>
      <c r="T175" s="282">
        <f t="shared" ref="T175:U175" si="45">hundred * $H66 * T96 / $H38 / hours_in_year</f>
        <v>0</v>
      </c>
      <c r="U175" s="282">
        <f t="shared" si="45"/>
        <v>0</v>
      </c>
      <c r="V175" s="282">
        <f t="shared" ref="V175:W175" si="46">hundred * $H66 * V96 / $H38 / hours_in_year</f>
        <v>0</v>
      </c>
      <c r="W175" s="282">
        <f t="shared" si="46"/>
        <v>0</v>
      </c>
      <c r="X175" s="282">
        <f t="shared" ref="X175:Y175" si="47">hundred * $H66 * X96 / $H38 / hours_in_year</f>
        <v>0</v>
      </c>
      <c r="Y175" s="282">
        <f t="shared" si="47"/>
        <v>0</v>
      </c>
      <c r="Z175" s="267"/>
      <c r="AA175" s="267"/>
    </row>
    <row r="176" spans="5:27" customFormat="1" x14ac:dyDescent="0.35">
      <c r="E176" s="2"/>
      <c r="F176" t="s">
        <v>194</v>
      </c>
      <c r="G176" t="s">
        <v>269</v>
      </c>
      <c r="H176" s="267"/>
      <c r="I176" s="267"/>
      <c r="J176" s="268"/>
      <c r="K176" s="268"/>
      <c r="L176" s="268"/>
      <c r="M176" s="268"/>
      <c r="N176" s="268"/>
      <c r="O176" s="268"/>
      <c r="P176" s="268"/>
      <c r="Q176" s="268"/>
      <c r="R176" s="282">
        <f t="shared" ref="R176:S176" si="48">hundred * $H67 * R97 / $H39 / hours_in_year</f>
        <v>-9.9703205314704543E-2</v>
      </c>
      <c r="S176" s="282">
        <f t="shared" si="48"/>
        <v>-9.6255778743313494E-2</v>
      </c>
      <c r="T176" s="282">
        <f t="shared" ref="T176:U176" si="49">hundred * $H67 * T97 / $H39 / hours_in_year</f>
        <v>-9.9703205314704543E-2</v>
      </c>
      <c r="U176" s="282">
        <f t="shared" si="49"/>
        <v>-9.9703205314704543E-2</v>
      </c>
      <c r="V176" s="282">
        <f t="shared" ref="V176:W176" si="50">hundred * $H67 * V97 / $H39 / hours_in_year</f>
        <v>-9.6255778743313494E-2</v>
      </c>
      <c r="W176" s="282">
        <f t="shared" si="50"/>
        <v>-9.6255778743313494E-2</v>
      </c>
      <c r="X176" s="282">
        <f t="shared" ref="X176:Y176" si="51">hundred * $H67 * X97 / $H39 / hours_in_year</f>
        <v>-9.40784566982244E-2</v>
      </c>
      <c r="Y176" s="282">
        <f t="shared" si="51"/>
        <v>-9.40784566982244E-2</v>
      </c>
      <c r="Z176" s="267"/>
      <c r="AA176" s="267"/>
    </row>
    <row r="177" spans="2:27" x14ac:dyDescent="0.35">
      <c r="D177"/>
      <c r="F177" t="s">
        <v>195</v>
      </c>
      <c r="G177" t="s">
        <v>269</v>
      </c>
      <c r="H177" s="267"/>
      <c r="I177" s="267"/>
      <c r="J177" s="268"/>
      <c r="K177" s="268"/>
      <c r="L177" s="268"/>
      <c r="M177" s="268"/>
      <c r="N177" s="268"/>
      <c r="O177" s="268"/>
      <c r="P177" s="268"/>
      <c r="Q177" s="268"/>
      <c r="R177" s="282">
        <f t="shared" ref="R177:S177" si="52">hundred * $H68 * R98 / $H40 / hours_in_year</f>
        <v>-9.0211091796050122E-2</v>
      </c>
      <c r="S177" s="282">
        <f t="shared" si="52"/>
        <v>-8.7091872971436918E-2</v>
      </c>
      <c r="T177" s="282">
        <f t="shared" ref="T177:U177" si="53">hundred * $H68 * T98 / $H40 / hours_in_year</f>
        <v>-9.0211091796050122E-2</v>
      </c>
      <c r="U177" s="282">
        <f t="shared" si="53"/>
        <v>-9.0211091796050122E-2</v>
      </c>
      <c r="V177" s="282">
        <f t="shared" ref="V177:W177" si="54">hundred * $H68 * V98 / $H40 / hours_in_year</f>
        <v>-8.7091872971436918E-2</v>
      </c>
      <c r="W177" s="282">
        <f t="shared" si="54"/>
        <v>-8.7091872971436918E-2</v>
      </c>
      <c r="X177" s="282">
        <f t="shared" ref="X177:Y177" si="55">hundred * $H68 * X98 / $H40 / hours_in_year</f>
        <v>-8.5121840029575943E-2</v>
      </c>
      <c r="Y177" s="282">
        <f t="shared" si="55"/>
        <v>-8.5121840029575943E-2</v>
      </c>
      <c r="Z177" s="267"/>
      <c r="AA177" s="267"/>
    </row>
    <row r="178" spans="2:27" x14ac:dyDescent="0.35">
      <c r="D178"/>
      <c r="F178" t="s">
        <v>196</v>
      </c>
      <c r="G178" t="s">
        <v>269</v>
      </c>
      <c r="H178" s="267"/>
      <c r="I178" s="267"/>
      <c r="J178" s="268"/>
      <c r="K178" s="268"/>
      <c r="L178" s="268"/>
      <c r="M178" s="268"/>
      <c r="N178" s="268"/>
      <c r="O178" s="268"/>
      <c r="P178" s="268"/>
      <c r="Q178" s="268"/>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7"/>
      <c r="AA178" s="267"/>
    </row>
    <row r="179" spans="2:27" x14ac:dyDescent="0.35">
      <c r="D179"/>
      <c r="F179" t="s">
        <v>197</v>
      </c>
      <c r="G179" t="s">
        <v>269</v>
      </c>
      <c r="H179" s="267"/>
      <c r="I179" s="267"/>
      <c r="J179" s="268"/>
      <c r="K179" s="268"/>
      <c r="L179" s="268"/>
      <c r="M179" s="268"/>
      <c r="N179" s="268"/>
      <c r="O179" s="268"/>
      <c r="P179" s="268"/>
      <c r="Q179" s="268"/>
      <c r="R179" s="282">
        <f t="shared" ref="R179:S179" si="60">hundred * $H70 * R100 / $H42 / hours_in_year</f>
        <v>-0.37277517366962182</v>
      </c>
      <c r="S179" s="282">
        <f t="shared" si="60"/>
        <v>-0.35988576821061752</v>
      </c>
      <c r="T179" s="282">
        <f t="shared" ref="T179:U179" si="61">hundred * $H70 * T100 / $H42 / hours_in_year</f>
        <v>-0.37277517366962182</v>
      </c>
      <c r="U179" s="282">
        <f t="shared" si="61"/>
        <v>-0.37277517366962182</v>
      </c>
      <c r="V179" s="282">
        <f t="shared" ref="V179:W179" si="62">hundred * $H70 * V100 / $H42 / hours_in_year</f>
        <v>-0.35988576821061752</v>
      </c>
      <c r="W179" s="282">
        <f t="shared" si="62"/>
        <v>-0.35988576821061752</v>
      </c>
      <c r="X179" s="282">
        <f t="shared" ref="X179:Y179" si="63">hundred * $H70 * X100 / $H42 / hours_in_year</f>
        <v>-0.3517450910786149</v>
      </c>
      <c r="Y179" s="282">
        <f t="shared" si="63"/>
        <v>-0.3517450910786149</v>
      </c>
      <c r="Z179" s="267"/>
      <c r="AA179" s="267"/>
    </row>
    <row r="180" spans="2:27" x14ac:dyDescent="0.35">
      <c r="D180"/>
      <c r="F180" t="s">
        <v>198</v>
      </c>
      <c r="G180" t="s">
        <v>269</v>
      </c>
      <c r="H180" s="267"/>
      <c r="I180" s="267"/>
      <c r="J180" s="268"/>
      <c r="K180" s="268"/>
      <c r="L180" s="268"/>
      <c r="M180" s="268"/>
      <c r="N180" s="268"/>
      <c r="O180" s="268"/>
      <c r="P180" s="268"/>
      <c r="Q180" s="268"/>
      <c r="R180" s="282">
        <f t="shared" ref="R180:S180" si="64">hundred * $H71 * R101 / $H43 / hours_in_year</f>
        <v>-9.0268092158547697E-2</v>
      </c>
      <c r="S180" s="282">
        <f t="shared" si="64"/>
        <v>-8.7146902438779886E-2</v>
      </c>
      <c r="T180" s="282">
        <f t="shared" ref="T180:U180" si="65">hundred * $H71 * T101 / $H43 / hours_in_year</f>
        <v>-9.0268092158547697E-2</v>
      </c>
      <c r="U180" s="282">
        <f t="shared" si="65"/>
        <v>-9.0268092158547697E-2</v>
      </c>
      <c r="V180" s="282">
        <f t="shared" ref="V180:W180" si="66">hundred * $H71 * V101 / $H43 / hours_in_year</f>
        <v>-8.7146902438779886E-2</v>
      </c>
      <c r="W180" s="282">
        <f t="shared" si="66"/>
        <v>-8.7146902438779886E-2</v>
      </c>
      <c r="X180" s="282">
        <f t="shared" ref="X180:Y180" si="67">hundred * $H71 * X101 / $H43 / hours_in_year</f>
        <v>0</v>
      </c>
      <c r="Y180" s="282">
        <f t="shared" si="67"/>
        <v>0</v>
      </c>
      <c r="Z180" s="267"/>
      <c r="AA180" s="267"/>
    </row>
    <row r="181" spans="2:27" x14ac:dyDescent="0.35">
      <c r="D181"/>
      <c r="F181" t="s">
        <v>199</v>
      </c>
      <c r="G181" t="s">
        <v>269</v>
      </c>
      <c r="H181" s="267"/>
      <c r="I181" s="267"/>
      <c r="J181" s="268"/>
      <c r="K181" s="268"/>
      <c r="L181" s="268"/>
      <c r="M181" s="268"/>
      <c r="N181" s="268"/>
      <c r="O181" s="268"/>
      <c r="P181" s="268"/>
      <c r="Q181" s="268"/>
      <c r="R181" s="282">
        <f t="shared" ref="R181:S181" si="68">hundred * $H72 * R102 / $H44 / hours_in_year</f>
        <v>-0.214279208071253</v>
      </c>
      <c r="S181" s="282">
        <f t="shared" si="68"/>
        <v>0</v>
      </c>
      <c r="T181" s="282">
        <f t="shared" ref="T181:U181" si="69">hundred * $H72 * T102 / $H44 / hours_in_year</f>
        <v>-0.214279208071253</v>
      </c>
      <c r="U181" s="282">
        <f t="shared" si="69"/>
        <v>-0.214279208071253</v>
      </c>
      <c r="V181" s="282">
        <f t="shared" ref="V181:W181" si="70">hundred * $H72 * V102 / $H44 / hours_in_year</f>
        <v>0</v>
      </c>
      <c r="W181" s="282">
        <f t="shared" si="70"/>
        <v>0</v>
      </c>
      <c r="X181" s="282">
        <f t="shared" ref="X181:Y181" si="71">hundred * $H72 * X102 / $H44 / hours_in_year</f>
        <v>0</v>
      </c>
      <c r="Y181" s="282">
        <f t="shared" si="71"/>
        <v>0</v>
      </c>
      <c r="Z181" s="267"/>
      <c r="AA181" s="267"/>
    </row>
    <row r="182" spans="2:27" x14ac:dyDescent="0.35">
      <c r="D182"/>
      <c r="F182" t="s">
        <v>376</v>
      </c>
      <c r="G182" t="s">
        <v>269</v>
      </c>
      <c r="H182" s="267"/>
      <c r="I182" s="267"/>
      <c r="J182" s="268"/>
      <c r="K182" s="268"/>
      <c r="L182" s="268"/>
      <c r="M182" s="268"/>
      <c r="N182" s="268"/>
      <c r="O182" s="268"/>
      <c r="P182" s="268"/>
      <c r="Q182" s="268"/>
      <c r="R182" s="268"/>
      <c r="S182" s="268"/>
      <c r="T182" s="268"/>
      <c r="U182" s="268"/>
      <c r="V182" s="268"/>
      <c r="W182" s="268"/>
      <c r="X182" s="268"/>
      <c r="Y182" s="268"/>
      <c r="Z182" s="267"/>
      <c r="AA182" s="267"/>
    </row>
    <row r="183" spans="2:27" x14ac:dyDescent="0.35">
      <c r="D183"/>
      <c r="F183" s="37" t="s">
        <v>377</v>
      </c>
      <c r="G183" s="37" t="s">
        <v>269</v>
      </c>
      <c r="H183" s="269"/>
      <c r="I183" s="269"/>
      <c r="J183" s="270"/>
      <c r="K183" s="270"/>
      <c r="L183" s="270"/>
      <c r="M183" s="270"/>
      <c r="N183" s="270"/>
      <c r="O183" s="270"/>
      <c r="P183" s="270"/>
      <c r="Q183" s="270"/>
      <c r="R183" s="270"/>
      <c r="S183" s="270"/>
      <c r="T183" s="270"/>
      <c r="U183" s="270"/>
      <c r="V183" s="270"/>
      <c r="W183" s="270"/>
      <c r="X183" s="270"/>
      <c r="Y183" s="270"/>
      <c r="Z183" s="267"/>
      <c r="AA183" s="267"/>
    </row>
    <row r="184" spans="2:27" x14ac:dyDescent="0.35">
      <c r="D184"/>
      <c r="E184"/>
      <c r="J184" s="89"/>
      <c r="K184" s="89"/>
      <c r="L184" s="89"/>
      <c r="M184" s="89"/>
      <c r="N184" s="89"/>
      <c r="O184" s="89"/>
      <c r="P184" s="89"/>
      <c r="Q184" s="89"/>
      <c r="R184" s="89"/>
      <c r="S184" s="89"/>
      <c r="T184" s="89"/>
      <c r="U184" s="89"/>
      <c r="V184" s="89"/>
      <c r="W184" s="89"/>
      <c r="X184" s="89"/>
      <c r="Y184" s="89"/>
    </row>
    <row r="185" spans="2:27" x14ac:dyDescent="0.35">
      <c r="B185" s="30" t="s">
        <v>679</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35">
      <c r="B186" s="206"/>
      <c r="J186" s="89"/>
      <c r="K186" s="89"/>
      <c r="L186" s="89"/>
      <c r="M186" s="89"/>
      <c r="N186" s="89"/>
      <c r="O186" s="89"/>
      <c r="P186" s="89"/>
      <c r="Q186" s="89"/>
      <c r="R186" s="89"/>
      <c r="S186" s="89"/>
      <c r="T186" s="89"/>
      <c r="U186" s="89"/>
      <c r="V186" s="89"/>
      <c r="W186" s="89"/>
      <c r="X186" s="89"/>
      <c r="Y186" s="89"/>
    </row>
    <row r="187" spans="2:27" x14ac:dyDescent="0.35">
      <c r="B187" s="206"/>
      <c r="C187" s="29" t="s">
        <v>680</v>
      </c>
      <c r="J187" s="89"/>
      <c r="K187" s="89"/>
      <c r="L187" s="89"/>
      <c r="M187" s="89"/>
      <c r="N187" s="89"/>
      <c r="O187" s="89"/>
      <c r="P187" s="89"/>
      <c r="Q187" s="89"/>
      <c r="R187" s="89"/>
      <c r="S187" s="89"/>
      <c r="T187" s="89"/>
      <c r="U187" s="89"/>
      <c r="V187" s="89"/>
      <c r="W187" s="89"/>
      <c r="X187" s="89"/>
      <c r="Y187" s="89"/>
    </row>
    <row r="188" spans="2:27" x14ac:dyDescent="0.35">
      <c r="B188" s="206"/>
      <c r="C188" s="29" t="s">
        <v>681</v>
      </c>
      <c r="I188" t="s">
        <v>154</v>
      </c>
      <c r="J188" s="89"/>
      <c r="K188" s="89"/>
      <c r="L188" s="89"/>
      <c r="M188" s="89"/>
      <c r="N188" s="89"/>
      <c r="O188" s="89"/>
      <c r="P188" s="89"/>
      <c r="Q188" s="89"/>
      <c r="R188" s="89"/>
      <c r="S188" s="89"/>
      <c r="T188" s="89"/>
      <c r="U188" s="89"/>
      <c r="V188" s="89"/>
      <c r="W188" s="89"/>
      <c r="X188" s="89"/>
      <c r="Y188" s="89"/>
      <c r="AA188" t="s">
        <v>682</v>
      </c>
    </row>
    <row r="189" spans="2:27" x14ac:dyDescent="0.35">
      <c r="B189" s="206"/>
      <c r="J189" s="89"/>
      <c r="K189" s="89"/>
      <c r="L189" s="89"/>
      <c r="M189" s="89"/>
      <c r="N189" s="89"/>
      <c r="O189" s="89"/>
      <c r="P189" s="89"/>
      <c r="Q189" s="89"/>
      <c r="R189" s="89"/>
      <c r="S189" s="89"/>
      <c r="T189" s="89"/>
      <c r="U189" s="89"/>
      <c r="V189" s="89"/>
      <c r="W189" s="89"/>
      <c r="X189" s="89"/>
      <c r="Y189" s="89"/>
    </row>
    <row r="190" spans="2:27" x14ac:dyDescent="0.35">
      <c r="C190" s="31" t="str">
        <f ca="1">INDEX('Version control'!$H$34:$H$57,MATCH($A$1,'Version control'!$F$34:$F$57,0),1)&amp;"-D: Reactive power charges, all customer categories"</f>
        <v>Section 113-D: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35">
      <c r="C191" s="32"/>
      <c r="D191"/>
      <c r="E191" s="32"/>
      <c r="I191" t="s">
        <v>154</v>
      </c>
      <c r="J191" s="89"/>
      <c r="K191" s="89"/>
      <c r="L191" s="89"/>
      <c r="M191" s="89"/>
      <c r="N191" s="89"/>
      <c r="O191" s="89"/>
      <c r="P191" s="89"/>
      <c r="Q191" s="89"/>
      <c r="R191" s="89"/>
      <c r="S191" s="89"/>
      <c r="T191" s="89"/>
      <c r="U191" s="89"/>
      <c r="V191" s="89"/>
      <c r="W191" s="89"/>
      <c r="X191" s="89"/>
      <c r="Y191" s="89"/>
      <c r="AA191" t="s">
        <v>683</v>
      </c>
    </row>
    <row r="192" spans="2:27" x14ac:dyDescent="0.35">
      <c r="E192" s="32" t="s">
        <v>621</v>
      </c>
      <c r="J192" s="89"/>
      <c r="K192" s="89"/>
      <c r="L192" s="89"/>
      <c r="M192" s="89"/>
      <c r="N192" s="89"/>
      <c r="O192" s="89"/>
      <c r="P192" s="89"/>
      <c r="Q192" s="89"/>
      <c r="R192" s="89"/>
      <c r="S192" s="89"/>
      <c r="T192" s="89"/>
      <c r="U192" s="89"/>
      <c r="V192" s="89"/>
      <c r="W192" s="89"/>
      <c r="X192" s="89"/>
      <c r="Y192" s="89"/>
    </row>
    <row r="193" spans="4:27" x14ac:dyDescent="0.35">
      <c r="F193" s="23" t="s">
        <v>189</v>
      </c>
      <c r="G193" s="23" t="s">
        <v>272</v>
      </c>
      <c r="H193" s="266"/>
      <c r="I193" s="266"/>
      <c r="J193" s="280"/>
      <c r="K193" s="280"/>
      <c r="L193" s="280"/>
      <c r="M193" s="280"/>
      <c r="N193" s="280"/>
      <c r="O193" s="280"/>
      <c r="P193" s="280"/>
      <c r="Q193" s="280"/>
      <c r="R193" s="280"/>
      <c r="S193" s="280"/>
      <c r="T193" s="280"/>
      <c r="U193" s="280"/>
      <c r="V193" s="280"/>
      <c r="W193" s="280"/>
      <c r="X193" s="280"/>
      <c r="Y193" s="280"/>
      <c r="Z193" s="267"/>
      <c r="AA193" s="267"/>
    </row>
    <row r="194" spans="4:27" x14ac:dyDescent="0.35">
      <c r="F194" t="s">
        <v>191</v>
      </c>
      <c r="G194" t="s">
        <v>272</v>
      </c>
      <c r="H194" s="267"/>
      <c r="I194" s="267"/>
      <c r="J194" s="268"/>
      <c r="K194" s="268"/>
      <c r="L194" s="268"/>
      <c r="M194" s="268"/>
      <c r="N194" s="268"/>
      <c r="O194" s="268"/>
      <c r="P194" s="268"/>
      <c r="Q194" s="268"/>
      <c r="R194" s="268"/>
      <c r="S194" s="268"/>
      <c r="T194" s="268"/>
      <c r="U194" s="268"/>
      <c r="V194" s="268"/>
      <c r="W194" s="268"/>
      <c r="X194" s="268"/>
      <c r="Y194" s="268"/>
      <c r="Z194" s="267"/>
      <c r="AA194" s="267"/>
    </row>
    <row r="195" spans="4:27" x14ac:dyDescent="0.35">
      <c r="F195" t="s">
        <v>192</v>
      </c>
      <c r="G195" t="s">
        <v>272</v>
      </c>
      <c r="H195" s="267"/>
      <c r="I195" s="267"/>
      <c r="J195" s="282">
        <f t="shared" ref="J195:K195" si="72">ABS(J125 + J160)*(1-J82)*PowerFactor*$H23</f>
        <v>0</v>
      </c>
      <c r="K195" s="282">
        <f t="shared" si="72"/>
        <v>0</v>
      </c>
      <c r="L195" s="282">
        <f t="shared" ref="L195:M195" si="73">ABS(L125 + L160)*(1-L82)*PowerFactor*$H23</f>
        <v>0</v>
      </c>
      <c r="M195" s="282">
        <f t="shared" si="73"/>
        <v>0</v>
      </c>
      <c r="N195" s="282">
        <f t="shared" ref="N195:P195" si="74">ABS(N125 + N160)*(1-N82)*PowerFactor*$H23</f>
        <v>0</v>
      </c>
      <c r="O195" s="282">
        <f t="shared" si="74"/>
        <v>0</v>
      </c>
      <c r="P195" s="282">
        <f t="shared" si="74"/>
        <v>0</v>
      </c>
      <c r="Q195" s="282">
        <f t="shared" ref="Q195:S195" si="75">ABS(Q125 + Q160)*(1-Q82)*PowerFactor*$H23</f>
        <v>0</v>
      </c>
      <c r="R195" s="282">
        <f t="shared" si="75"/>
        <v>0</v>
      </c>
      <c r="S195" s="282">
        <f t="shared" si="75"/>
        <v>0</v>
      </c>
      <c r="T195" s="282">
        <f t="shared" ref="T195:U195" si="76">ABS(T125 + T160)*(1-T82)*PowerFactor*$H23</f>
        <v>0</v>
      </c>
      <c r="U195" s="282">
        <f t="shared" si="76"/>
        <v>0</v>
      </c>
      <c r="V195" s="282">
        <f t="shared" ref="V195:W195" si="77">ABS(V125 + V160)*(1-V82)*PowerFactor*$H23</f>
        <v>0</v>
      </c>
      <c r="W195" s="282">
        <f t="shared" si="77"/>
        <v>0</v>
      </c>
      <c r="X195" s="282">
        <f t="shared" ref="X195:Y195" si="78">ABS(X125 + X160)*(1-X82)*PowerFactor*$H23</f>
        <v>0</v>
      </c>
      <c r="Y195" s="282">
        <f t="shared" si="78"/>
        <v>0</v>
      </c>
      <c r="Z195" s="267"/>
      <c r="AA195" s="267"/>
    </row>
    <row r="196" spans="4:27" x14ac:dyDescent="0.35">
      <c r="F196" t="s">
        <v>193</v>
      </c>
      <c r="G196" t="s">
        <v>272</v>
      </c>
      <c r="H196" s="267"/>
      <c r="I196" s="267"/>
      <c r="J196" s="282">
        <f t="shared" ref="J196:K196" si="79">ABS(J126 + J161)*(1-J83)*PowerFactor*$H24</f>
        <v>0</v>
      </c>
      <c r="K196" s="282">
        <f t="shared" si="79"/>
        <v>0</v>
      </c>
      <c r="L196" s="282">
        <f t="shared" ref="L196:M196" si="80">ABS(L126 + L161)*(1-L83)*PowerFactor*$H24</f>
        <v>0</v>
      </c>
      <c r="M196" s="282">
        <f t="shared" si="80"/>
        <v>0</v>
      </c>
      <c r="N196" s="282">
        <f t="shared" ref="N196:P196" si="81">ABS(N126 + N161)*(1-N83)*PowerFactor*$H24</f>
        <v>0</v>
      </c>
      <c r="O196" s="282">
        <f t="shared" si="81"/>
        <v>0</v>
      </c>
      <c r="P196" s="282">
        <f t="shared" si="81"/>
        <v>0</v>
      </c>
      <c r="Q196" s="282">
        <f t="shared" ref="Q196:S196" si="82">ABS(Q126 + Q161)*(1-Q83)*PowerFactor*$H24</f>
        <v>0</v>
      </c>
      <c r="R196" s="282">
        <f t="shared" si="82"/>
        <v>0</v>
      </c>
      <c r="S196" s="282">
        <f t="shared" si="82"/>
        <v>0</v>
      </c>
      <c r="T196" s="282">
        <f t="shared" ref="T196:U196" si="83">ABS(T126 + T161)*(1-T83)*PowerFactor*$H24</f>
        <v>0</v>
      </c>
      <c r="U196" s="282">
        <f t="shared" si="83"/>
        <v>0</v>
      </c>
      <c r="V196" s="282">
        <f t="shared" ref="V196:W196" si="84">ABS(V126 + V161)*(1-V83)*PowerFactor*$H24</f>
        <v>0</v>
      </c>
      <c r="W196" s="282">
        <f t="shared" si="84"/>
        <v>0</v>
      </c>
      <c r="X196" s="282">
        <f t="shared" ref="X196:Y196" si="85">ABS(X126 + X161)*(1-X83)*PowerFactor*$H24</f>
        <v>0</v>
      </c>
      <c r="Y196" s="282">
        <f t="shared" si="85"/>
        <v>0</v>
      </c>
      <c r="Z196" s="267"/>
      <c r="AA196" s="267"/>
    </row>
    <row r="197" spans="4:27" x14ac:dyDescent="0.35">
      <c r="F197" t="s">
        <v>194</v>
      </c>
      <c r="G197" t="s">
        <v>272</v>
      </c>
      <c r="H197" s="267"/>
      <c r="I197" s="267"/>
      <c r="J197" s="282">
        <f t="shared" ref="J197:K197" si="86">ABS(J127 + J162)*(1-J84)*PowerFactor*$H25</f>
        <v>3.1043677768783841E-2</v>
      </c>
      <c r="K197" s="282">
        <f t="shared" si="86"/>
        <v>3.1043677768783841E-2</v>
      </c>
      <c r="L197" s="282">
        <f t="shared" ref="L197:M197" si="87">ABS(L127 + L162)*(1-L84)*PowerFactor*$H25</f>
        <v>3.1901246832280579E-2</v>
      </c>
      <c r="M197" s="282">
        <f t="shared" si="87"/>
        <v>3.1901246832280579E-2</v>
      </c>
      <c r="N197" s="282">
        <f t="shared" ref="N197:P197" si="88">ABS(N127 + N162)*(1-N84)*PowerFactor*$H25</f>
        <v>2.6737920993030892E-2</v>
      </c>
      <c r="O197" s="282">
        <f t="shared" si="88"/>
        <v>2.1345591163296727E-2</v>
      </c>
      <c r="P197" s="282">
        <f t="shared" si="88"/>
        <v>1.7121354886081571E-2</v>
      </c>
      <c r="Q197" s="282">
        <f t="shared" ref="Q197:S197" si="89">ABS(Q127 + Q162)*(1-Q84)*PowerFactor*$H25</f>
        <v>3.1840573256385292E-2</v>
      </c>
      <c r="R197" s="282">
        <f t="shared" si="89"/>
        <v>1.8975831640051264E-2</v>
      </c>
      <c r="S197" s="282">
        <f t="shared" si="89"/>
        <v>1.8319706433206906E-2</v>
      </c>
      <c r="T197" s="282">
        <f t="shared" ref="T197:U197" si="90">ABS(T127 + T162)*(1-T84)*PowerFactor*$H25</f>
        <v>1.8975831640051264E-2</v>
      </c>
      <c r="U197" s="282">
        <f t="shared" si="90"/>
        <v>1.8975831640051264E-2</v>
      </c>
      <c r="V197" s="282">
        <f t="shared" ref="V197:W197" si="91">ABS(V127 + V162)*(1-V84)*PowerFactor*$H25</f>
        <v>1.8319706433206906E-2</v>
      </c>
      <c r="W197" s="282">
        <f t="shared" si="91"/>
        <v>1.8319706433206906E-2</v>
      </c>
      <c r="X197" s="282">
        <f t="shared" ref="X197:Y197" si="92">ABS(X127 + X162)*(1-X84)*PowerFactor*$H25</f>
        <v>1.7810446993474918E-2</v>
      </c>
      <c r="Y197" s="282">
        <f t="shared" si="92"/>
        <v>1.7810446993474918E-2</v>
      </c>
      <c r="Z197" s="267"/>
      <c r="AA197" s="267"/>
    </row>
    <row r="198" spans="4:27" x14ac:dyDescent="0.35">
      <c r="F198" t="s">
        <v>195</v>
      </c>
      <c r="G198" t="s">
        <v>272</v>
      </c>
      <c r="H198" s="267"/>
      <c r="I198" s="267"/>
      <c r="J198" s="282">
        <f t="shared" ref="J198:K198" si="93">ABS(J128 + J163)*(1-J85)*PowerFactor*$H26</f>
        <v>2.8152437738140235E-2</v>
      </c>
      <c r="K198" s="282">
        <f t="shared" si="93"/>
        <v>2.8152437738140235E-2</v>
      </c>
      <c r="L198" s="282">
        <f t="shared" ref="L198:M198" si="94">ABS(L128 + L163)*(1-L85)*PowerFactor*$H26</f>
        <v>2.8930137463219974E-2</v>
      </c>
      <c r="M198" s="282">
        <f t="shared" si="94"/>
        <v>2.8930137463219974E-2</v>
      </c>
      <c r="N198" s="282">
        <f t="shared" ref="N198:P198" si="95">ABS(N128 + N163)*(1-N85)*PowerFactor*$H26</f>
        <v>2.424769583069615E-2</v>
      </c>
      <c r="O198" s="282">
        <f t="shared" si="95"/>
        <v>1.9357578399192662E-2</v>
      </c>
      <c r="P198" s="282">
        <f t="shared" si="95"/>
        <v>0</v>
      </c>
      <c r="Q198" s="282">
        <f t="shared" ref="Q198:S198" si="96">ABS(Q128 + Q163)*(1-Q85)*PowerFactor*$H26</f>
        <v>2.8875114695606399E-2</v>
      </c>
      <c r="R198" s="282">
        <f t="shared" si="96"/>
        <v>1.7208525444532181E-2</v>
      </c>
      <c r="S198" s="282">
        <f t="shared" si="96"/>
        <v>1.6613508186213505E-2</v>
      </c>
      <c r="T198" s="282">
        <f t="shared" ref="T198:U198" si="97">ABS(T128 + T163)*(1-T85)*PowerFactor*$H26</f>
        <v>1.7208525444532181E-2</v>
      </c>
      <c r="U198" s="282">
        <f t="shared" si="97"/>
        <v>1.7208525444532181E-2</v>
      </c>
      <c r="V198" s="282">
        <f t="shared" ref="V198:W198" si="98">ABS(V128 + V163)*(1-V85)*PowerFactor*$H26</f>
        <v>1.6613508186213505E-2</v>
      </c>
      <c r="W198" s="282">
        <f t="shared" si="98"/>
        <v>1.6613508186213505E-2</v>
      </c>
      <c r="X198" s="282">
        <f t="shared" ref="X198:Y198" si="99">ABS(X128 + X163)*(1-X85)*PowerFactor*$H26</f>
        <v>1.6182186749190391E-2</v>
      </c>
      <c r="Y198" s="282">
        <f t="shared" si="99"/>
        <v>1.6182186749190391E-2</v>
      </c>
      <c r="Z198" s="267"/>
      <c r="AA198" s="267"/>
    </row>
    <row r="199" spans="4:27" x14ac:dyDescent="0.35">
      <c r="F199" t="s">
        <v>196</v>
      </c>
      <c r="G199" t="s">
        <v>272</v>
      </c>
      <c r="H199" s="267"/>
      <c r="I199" s="267"/>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7"/>
      <c r="AA199" s="267"/>
    </row>
    <row r="200" spans="4:27" x14ac:dyDescent="0.35">
      <c r="F200" t="s">
        <v>197</v>
      </c>
      <c r="G200" t="s">
        <v>272</v>
      </c>
      <c r="H200" s="267"/>
      <c r="I200" s="267"/>
      <c r="J200" s="282">
        <f t="shared" ref="J200:K200" si="107">ABS(J130 + J165)*(1-J87)*PowerFactor*$H28</f>
        <v>6.7144895653788034E-2</v>
      </c>
      <c r="K200" s="282">
        <f t="shared" si="107"/>
        <v>6.7144895653788034E-2</v>
      </c>
      <c r="L200" s="282">
        <f t="shared" ref="L200:M200" si="108">ABS(L130 + L165)*(1-L87)*PowerFactor*$H28</f>
        <v>6.8999746284350461E-2</v>
      </c>
      <c r="M200" s="282">
        <f t="shared" si="108"/>
        <v>6.8999746284350461E-2</v>
      </c>
      <c r="N200" s="282">
        <f t="shared" ref="N200:P200" si="109">ABS(N130 + N165)*(1-N87)*PowerFactor*$H28</f>
        <v>4.626552120397482E-2</v>
      </c>
      <c r="O200" s="282">
        <f t="shared" si="109"/>
        <v>0</v>
      </c>
      <c r="P200" s="282">
        <f t="shared" si="109"/>
        <v>0</v>
      </c>
      <c r="Q200" s="282">
        <f t="shared" ref="Q200:S200" si="110">ABS(Q130 + Q165)*(1-Q87)*PowerFactor*$H28</f>
        <v>6.8868514380940868E-2</v>
      </c>
      <c r="R200" s="282">
        <f t="shared" si="110"/>
        <v>4.1043147171702099E-2</v>
      </c>
      <c r="S200" s="282">
        <f t="shared" si="110"/>
        <v>3.9624002865492197E-2</v>
      </c>
      <c r="T200" s="282">
        <f t="shared" ref="T200:U200" si="111">ABS(T130 + T165)*(1-T87)*PowerFactor*$H28</f>
        <v>4.1043147171702099E-2</v>
      </c>
      <c r="U200" s="282">
        <f t="shared" si="111"/>
        <v>4.1043147171702099E-2</v>
      </c>
      <c r="V200" s="282">
        <f t="shared" ref="V200:W200" si="112">ABS(V130 + V165)*(1-V87)*PowerFactor*$H28</f>
        <v>3.9624002865492197E-2</v>
      </c>
      <c r="W200" s="282">
        <f t="shared" si="112"/>
        <v>3.9624002865492197E-2</v>
      </c>
      <c r="X200" s="282">
        <f t="shared" ref="X200:Y200" si="113">ABS(X130 + X165)*(1-X87)*PowerFactor*$H28</f>
        <v>4.1170515135076226E-2</v>
      </c>
      <c r="Y200" s="282">
        <f t="shared" si="113"/>
        <v>4.1170515135076226E-2</v>
      </c>
      <c r="Z200" s="267"/>
      <c r="AA200" s="267"/>
    </row>
    <row r="201" spans="4:27" x14ac:dyDescent="0.35">
      <c r="F201" t="s">
        <v>198</v>
      </c>
      <c r="G201" t="s">
        <v>272</v>
      </c>
      <c r="H201" s="267"/>
      <c r="I201" s="267"/>
      <c r="J201" s="282">
        <f t="shared" ref="J201:K201" si="114">ABS(J131 + J166)*(1-J88)*PowerFactor*$H29</f>
        <v>6.1495548531859271E-3</v>
      </c>
      <c r="K201" s="282">
        <f t="shared" si="114"/>
        <v>6.1495548531859271E-3</v>
      </c>
      <c r="L201" s="282">
        <f t="shared" ref="L201:M201" si="115">ABS(L131 + L166)*(1-L88)*PowerFactor*$H29</f>
        <v>6.3194338229280809E-3</v>
      </c>
      <c r="M201" s="282">
        <f t="shared" si="115"/>
        <v>6.3194338229280809E-3</v>
      </c>
      <c r="N201" s="282">
        <f t="shared" ref="N201:P201" si="116">ABS(N131 + N166)*(1-N88)*PowerFactor*$H29</f>
        <v>0</v>
      </c>
      <c r="O201" s="282">
        <f t="shared" si="116"/>
        <v>0</v>
      </c>
      <c r="P201" s="282">
        <f t="shared" si="116"/>
        <v>0</v>
      </c>
      <c r="Q201" s="282">
        <f t="shared" ref="Q201:S201" si="117">ABS(Q131 + Q166)*(1-Q88)*PowerFactor*$H29</f>
        <v>6.3074147739646822E-3</v>
      </c>
      <c r="R201" s="282">
        <f t="shared" si="117"/>
        <v>3.7589913934958294E-3</v>
      </c>
      <c r="S201" s="282">
        <f t="shared" si="117"/>
        <v>3.6290171687889676E-3</v>
      </c>
      <c r="T201" s="282">
        <f t="shared" ref="T201:U201" si="118">ABS(T131 + T166)*(1-T88)*PowerFactor*$H29</f>
        <v>3.7589913934958294E-3</v>
      </c>
      <c r="U201" s="282">
        <f t="shared" si="118"/>
        <v>3.7589913934958294E-3</v>
      </c>
      <c r="V201" s="282">
        <f t="shared" ref="V201:W201" si="119">ABS(V131 + V166)*(1-V88)*PowerFactor*$H29</f>
        <v>3.6290171687889676E-3</v>
      </c>
      <c r="W201" s="282">
        <f t="shared" si="119"/>
        <v>3.6290171687889676E-3</v>
      </c>
      <c r="X201" s="282">
        <f t="shared" ref="X201:Y201" si="120">ABS(X131 + X166)*(1-X88)*PowerFactor*$H29</f>
        <v>0</v>
      </c>
      <c r="Y201" s="282">
        <f t="shared" si="120"/>
        <v>0</v>
      </c>
      <c r="Z201" s="267"/>
      <c r="AA201" s="267"/>
    </row>
    <row r="202" spans="4:27" x14ac:dyDescent="0.35">
      <c r="F202" t="s">
        <v>199</v>
      </c>
      <c r="G202" t="s">
        <v>272</v>
      </c>
      <c r="H202" s="267"/>
      <c r="I202" s="267"/>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2.2905924453596959E-3</v>
      </c>
      <c r="R202" s="282">
        <f t="shared" si="124"/>
        <v>1.3651103656056912E-3</v>
      </c>
      <c r="S202" s="282">
        <f t="shared" si="124"/>
        <v>0</v>
      </c>
      <c r="T202" s="282">
        <f t="shared" ref="T202:U202" si="125">ABS(T132 + T167)*(1-T89)*PowerFactor*$H30</f>
        <v>1.3651103656056912E-3</v>
      </c>
      <c r="U202" s="282">
        <f t="shared" si="125"/>
        <v>1.3651103656056912E-3</v>
      </c>
      <c r="V202" s="282">
        <f t="shared" ref="V202:W202" si="126">ABS(V132 + V167)*(1-V89)*PowerFactor*$H30</f>
        <v>0</v>
      </c>
      <c r="W202" s="282">
        <f t="shared" si="126"/>
        <v>0</v>
      </c>
      <c r="X202" s="282">
        <f t="shared" ref="X202:Y202" si="127">ABS(X132 + X167)*(1-X89)*PowerFactor*$H30</f>
        <v>0</v>
      </c>
      <c r="Y202" s="282">
        <f t="shared" si="127"/>
        <v>0</v>
      </c>
      <c r="Z202" s="267"/>
      <c r="AA202" s="267"/>
    </row>
    <row r="203" spans="4:27" x14ac:dyDescent="0.35">
      <c r="F203" t="s">
        <v>376</v>
      </c>
      <c r="G203" t="s">
        <v>272</v>
      </c>
      <c r="H203" s="267"/>
      <c r="I203" s="267"/>
      <c r="J203" s="268"/>
      <c r="K203" s="268"/>
      <c r="L203" s="268"/>
      <c r="M203" s="268"/>
      <c r="N203" s="268"/>
      <c r="O203" s="268"/>
      <c r="P203" s="268"/>
      <c r="Q203" s="268"/>
      <c r="R203" s="268"/>
      <c r="S203" s="268"/>
      <c r="T203" s="268"/>
      <c r="U203" s="268"/>
      <c r="V203" s="268"/>
      <c r="W203" s="268"/>
      <c r="X203" s="268"/>
      <c r="Y203" s="268"/>
      <c r="Z203" s="267"/>
      <c r="AA203" s="267"/>
    </row>
    <row r="204" spans="4:27" x14ac:dyDescent="0.35">
      <c r="F204" s="37" t="s">
        <v>377</v>
      </c>
      <c r="G204" s="37" t="s">
        <v>272</v>
      </c>
      <c r="H204" s="269"/>
      <c r="I204" s="269"/>
      <c r="J204" s="270"/>
      <c r="K204" s="270"/>
      <c r="L204" s="270"/>
      <c r="M204" s="270"/>
      <c r="N204" s="270"/>
      <c r="O204" s="270"/>
      <c r="P204" s="270"/>
      <c r="Q204" s="270"/>
      <c r="R204" s="270"/>
      <c r="S204" s="270"/>
      <c r="T204" s="270"/>
      <c r="U204" s="270"/>
      <c r="V204" s="270"/>
      <c r="W204" s="270"/>
      <c r="X204" s="270"/>
      <c r="Y204" s="270"/>
      <c r="Z204" s="267"/>
      <c r="AA204" s="267"/>
    </row>
    <row r="205" spans="4:27" x14ac:dyDescent="0.35">
      <c r="D205"/>
      <c r="J205" s="89"/>
      <c r="K205" s="89"/>
      <c r="L205" s="89"/>
      <c r="M205" s="89"/>
      <c r="N205" s="89"/>
      <c r="O205" s="89"/>
      <c r="P205" s="89"/>
      <c r="Q205" s="89"/>
      <c r="R205" s="89"/>
      <c r="S205" s="89"/>
      <c r="T205" s="89"/>
      <c r="U205" s="89"/>
      <c r="V205" s="89"/>
      <c r="W205" s="89"/>
      <c r="X205" s="89"/>
      <c r="Y205" s="89"/>
    </row>
    <row r="206" spans="4:27" x14ac:dyDescent="0.35">
      <c r="E206" s="32" t="s">
        <v>622</v>
      </c>
      <c r="J206" s="89"/>
      <c r="K206" s="89"/>
      <c r="L206" s="89"/>
      <c r="M206" s="89"/>
      <c r="N206" s="89"/>
      <c r="O206" s="89"/>
      <c r="P206" s="89"/>
      <c r="Q206" s="89"/>
      <c r="R206" s="89"/>
      <c r="S206" s="89"/>
      <c r="T206" s="89"/>
      <c r="U206" s="89"/>
      <c r="V206" s="89"/>
      <c r="W206" s="89"/>
      <c r="X206" s="89"/>
      <c r="Y206" s="89"/>
    </row>
    <row r="207" spans="4:27" x14ac:dyDescent="0.35">
      <c r="F207" s="23" t="s">
        <v>189</v>
      </c>
      <c r="G207" s="23" t="s">
        <v>272</v>
      </c>
      <c r="H207" s="266"/>
      <c r="I207" s="266"/>
      <c r="J207" s="434">
        <f t="shared" ref="J207:K207" si="128">ABS(J137 + J172)*(1-J81)*PowerFactor*$H22</f>
        <v>8.7425759003902037E-2</v>
      </c>
      <c r="K207" s="434">
        <f t="shared" si="128"/>
        <v>8.7425759003902037E-2</v>
      </c>
      <c r="L207" s="434">
        <f t="shared" ref="L207:M207" si="129">ABS(L137 + L172)*(1-L81)*PowerFactor*$H22</f>
        <v>8.9840860295471892E-2</v>
      </c>
      <c r="M207" s="434">
        <f t="shared" si="129"/>
        <v>8.9840860295471892E-2</v>
      </c>
      <c r="N207" s="434">
        <f t="shared" ref="N207:P207" si="130">ABS(N137 + N172)*(1-N81)*PowerFactor*$H22</f>
        <v>7.5299809977819793E-2</v>
      </c>
      <c r="O207" s="434">
        <f t="shared" si="130"/>
        <v>6.011383453782413E-2</v>
      </c>
      <c r="P207" s="434">
        <f t="shared" si="130"/>
        <v>6.0592859764925511E-2</v>
      </c>
      <c r="Q207" s="434">
        <f t="shared" ref="Q207:S207" si="131">ABS(Q137 + Q172)*(1-Q81)*PowerFactor*$H22</f>
        <v>8.9669990288907792E-2</v>
      </c>
      <c r="R207" s="434">
        <f t="shared" si="131"/>
        <v>5.3440075503229684E-2</v>
      </c>
      <c r="S207" s="434">
        <f t="shared" si="131"/>
        <v>5.1592283993563873E-2</v>
      </c>
      <c r="T207" s="434">
        <f t="shared" ref="T207:U207" si="132">ABS(T137 + T172)*(1-T81)*PowerFactor*$H22</f>
        <v>5.3440075503229684E-2</v>
      </c>
      <c r="U207" s="434">
        <f t="shared" si="132"/>
        <v>5.3440075503229684E-2</v>
      </c>
      <c r="V207" s="434">
        <f t="shared" ref="V207:W207" si="133">ABS(V137 + V172)*(1-V81)*PowerFactor*$H22</f>
        <v>5.1592283993563873E-2</v>
      </c>
      <c r="W207" s="434">
        <f t="shared" si="133"/>
        <v>5.1592283993563873E-2</v>
      </c>
      <c r="X207" s="434">
        <f t="shared" ref="X207:Y207" si="134">ABS(X137 + X172)*(1-X81)*PowerFactor*$H22</f>
        <v>5.0425257776932839E-2</v>
      </c>
      <c r="Y207" s="434">
        <f t="shared" si="134"/>
        <v>5.0425257776932839E-2</v>
      </c>
      <c r="Z207" s="267"/>
      <c r="AA207" s="267"/>
    </row>
    <row r="208" spans="4:27" x14ac:dyDescent="0.35">
      <c r="F208" t="s">
        <v>191</v>
      </c>
      <c r="G208" t="s">
        <v>272</v>
      </c>
      <c r="H208" s="267"/>
      <c r="I208" s="267"/>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7"/>
      <c r="AA208" s="267"/>
    </row>
    <row r="209" spans="3:27" x14ac:dyDescent="0.35">
      <c r="F209" t="s">
        <v>192</v>
      </c>
      <c r="G209" t="s">
        <v>272</v>
      </c>
      <c r="H209" s="267"/>
      <c r="I209" s="267"/>
      <c r="J209" s="282">
        <f t="shared" ref="J209:K209" si="142">ABS(J139 + J174)*(1-J82)*PowerFactor*$H23</f>
        <v>0</v>
      </c>
      <c r="K209" s="282">
        <f t="shared" si="142"/>
        <v>0</v>
      </c>
      <c r="L209" s="282">
        <f t="shared" ref="L209:M209" si="143">ABS(L139 + L174)*(1-L82)*PowerFactor*$H23</f>
        <v>0</v>
      </c>
      <c r="M209" s="282">
        <f t="shared" si="143"/>
        <v>0</v>
      </c>
      <c r="N209" s="282">
        <f t="shared" ref="N209:P209" si="144">ABS(N139 + N174)*(1-N82)*PowerFactor*$H23</f>
        <v>0</v>
      </c>
      <c r="O209" s="282">
        <f t="shared" si="144"/>
        <v>0</v>
      </c>
      <c r="P209" s="282">
        <f t="shared" si="144"/>
        <v>0</v>
      </c>
      <c r="Q209" s="282">
        <f t="shared" ref="Q209:S209" si="145">ABS(Q139 + Q174)*(1-Q82)*PowerFactor*$H23</f>
        <v>0</v>
      </c>
      <c r="R209" s="282">
        <f t="shared" si="145"/>
        <v>0</v>
      </c>
      <c r="S209" s="282">
        <f t="shared" si="145"/>
        <v>0</v>
      </c>
      <c r="T209" s="282">
        <f t="shared" ref="T209:U209" si="146">ABS(T139 + T174)*(1-T82)*PowerFactor*$H23</f>
        <v>0</v>
      </c>
      <c r="U209" s="282">
        <f t="shared" si="146"/>
        <v>0</v>
      </c>
      <c r="V209" s="282">
        <f t="shared" ref="V209:W209" si="147">ABS(V139 + V174)*(1-V82)*PowerFactor*$H23</f>
        <v>0</v>
      </c>
      <c r="W209" s="282">
        <f t="shared" si="147"/>
        <v>0</v>
      </c>
      <c r="X209" s="282">
        <f t="shared" ref="X209:Y209" si="148">ABS(X139 + X174)*(1-X82)*PowerFactor*$H23</f>
        <v>0</v>
      </c>
      <c r="Y209" s="282">
        <f t="shared" si="148"/>
        <v>0</v>
      </c>
      <c r="Z209" s="267"/>
      <c r="AA209" s="267"/>
    </row>
    <row r="210" spans="3:27" x14ac:dyDescent="0.35">
      <c r="F210" t="s">
        <v>193</v>
      </c>
      <c r="G210" t="s">
        <v>272</v>
      </c>
      <c r="H210" s="267"/>
      <c r="I210" s="267"/>
      <c r="J210" s="282">
        <f t="shared" ref="J210:K210" si="149">ABS(J140 + J175)*(1-J83)*PowerFactor*$H24</f>
        <v>0</v>
      </c>
      <c r="K210" s="282">
        <f t="shared" si="149"/>
        <v>0</v>
      </c>
      <c r="L210" s="282">
        <f t="shared" ref="L210:M210" si="150">ABS(L140 + L175)*(1-L83)*PowerFactor*$H24</f>
        <v>0</v>
      </c>
      <c r="M210" s="282">
        <f t="shared" si="150"/>
        <v>0</v>
      </c>
      <c r="N210" s="282">
        <f t="shared" ref="N210:P210" si="151">ABS(N140 + N175)*(1-N83)*PowerFactor*$H24</f>
        <v>0</v>
      </c>
      <c r="O210" s="282">
        <f t="shared" si="151"/>
        <v>0</v>
      </c>
      <c r="P210" s="282">
        <f t="shared" si="151"/>
        <v>0</v>
      </c>
      <c r="Q210" s="282">
        <f t="shared" ref="Q210:S210" si="152">ABS(Q140 + Q175)*(1-Q83)*PowerFactor*$H24</f>
        <v>0</v>
      </c>
      <c r="R210" s="282">
        <f t="shared" si="152"/>
        <v>0</v>
      </c>
      <c r="S210" s="282">
        <f t="shared" si="152"/>
        <v>0</v>
      </c>
      <c r="T210" s="282">
        <f t="shared" ref="T210:U210" si="153">ABS(T140 + T175)*(1-T83)*PowerFactor*$H24</f>
        <v>0</v>
      </c>
      <c r="U210" s="282">
        <f t="shared" si="153"/>
        <v>0</v>
      </c>
      <c r="V210" s="282">
        <f t="shared" ref="V210:W210" si="154">ABS(V140 + V175)*(1-V83)*PowerFactor*$H24</f>
        <v>0</v>
      </c>
      <c r="W210" s="282">
        <f t="shared" si="154"/>
        <v>0</v>
      </c>
      <c r="X210" s="282">
        <f t="shared" ref="X210:Y210" si="155">ABS(X140 + X175)*(1-X83)*PowerFactor*$H24</f>
        <v>0</v>
      </c>
      <c r="Y210" s="282">
        <f t="shared" si="155"/>
        <v>0</v>
      </c>
      <c r="Z210" s="267"/>
      <c r="AA210" s="267"/>
    </row>
    <row r="211" spans="3:27" x14ac:dyDescent="0.35">
      <c r="F211" t="s">
        <v>194</v>
      </c>
      <c r="G211" t="s">
        <v>272</v>
      </c>
      <c r="H211" s="267"/>
      <c r="I211" s="267"/>
      <c r="J211" s="282">
        <f t="shared" ref="J211:K211" si="156">ABS(J141 + J176)*(1-J84)*PowerFactor*$H25</f>
        <v>2.7891866587442703E-2</v>
      </c>
      <c r="K211" s="282">
        <f t="shared" si="156"/>
        <v>2.7891866587442703E-2</v>
      </c>
      <c r="L211" s="282">
        <f t="shared" ref="L211:M211" si="157">ABS(L141 + L176)*(1-L84)*PowerFactor*$H25</f>
        <v>2.8662368139698257E-2</v>
      </c>
      <c r="M211" s="282">
        <f t="shared" si="157"/>
        <v>2.8662368139698257E-2</v>
      </c>
      <c r="N211" s="282">
        <f t="shared" ref="N211:P211" si="158">ABS(N141 + N176)*(1-N84)*PowerFactor*$H25</f>
        <v>2.4023265887430232E-2</v>
      </c>
      <c r="O211" s="282">
        <f t="shared" si="158"/>
        <v>1.9178410025742651E-2</v>
      </c>
      <c r="P211" s="282">
        <f t="shared" si="158"/>
        <v>1.5464988625510207E-2</v>
      </c>
      <c r="Q211" s="282">
        <f t="shared" ref="Q211:S211" si="159">ABS(Q141 + Q176)*(1-Q84)*PowerFactor*$H25</f>
        <v>2.8607854647551518E-2</v>
      </c>
      <c r="R211" s="282">
        <f t="shared" si="159"/>
        <v>1.7049248108814478E-2</v>
      </c>
      <c r="S211" s="282">
        <f t="shared" si="159"/>
        <v>1.6459738165106607E-2</v>
      </c>
      <c r="T211" s="282">
        <f t="shared" ref="T211:U211" si="160">ABS(T141 + T176)*(1-T84)*PowerFactor*$H25</f>
        <v>1.7049248108814478E-2</v>
      </c>
      <c r="U211" s="282">
        <f t="shared" si="160"/>
        <v>1.7049248108814478E-2</v>
      </c>
      <c r="V211" s="282">
        <f t="shared" ref="V211:W211" si="161">ABS(V141 + V176)*(1-V84)*PowerFactor*$H25</f>
        <v>1.6459738165106607E-2</v>
      </c>
      <c r="W211" s="282">
        <f t="shared" si="161"/>
        <v>1.6459738165106607E-2</v>
      </c>
      <c r="X211" s="282">
        <f t="shared" ref="X211:Y211" si="162">ABS(X141 + X176)*(1-X84)*PowerFactor*$H25</f>
        <v>1.6087416095396372E-2</v>
      </c>
      <c r="Y211" s="282">
        <f t="shared" si="162"/>
        <v>1.6087416095396372E-2</v>
      </c>
      <c r="Z211" s="267"/>
      <c r="AA211" s="267"/>
    </row>
    <row r="212" spans="3:27" x14ac:dyDescent="0.35">
      <c r="F212" t="s">
        <v>195</v>
      </c>
      <c r="G212" t="s">
        <v>272</v>
      </c>
      <c r="H212" s="267"/>
      <c r="I212" s="267"/>
      <c r="J212" s="282">
        <f t="shared" ref="J212:K212" si="163">ABS(J142 + J177)*(1-J85)*PowerFactor*$H26</f>
        <v>2.5236457836445167E-2</v>
      </c>
      <c r="K212" s="282">
        <f t="shared" si="163"/>
        <v>2.5236457836445167E-2</v>
      </c>
      <c r="L212" s="282">
        <f t="shared" ref="L212:M212" si="164">ABS(L142 + L177)*(1-L85)*PowerFactor*$H26</f>
        <v>2.5933604794159616E-2</v>
      </c>
      <c r="M212" s="282">
        <f t="shared" si="164"/>
        <v>2.5933604794159616E-2</v>
      </c>
      <c r="N212" s="282">
        <f t="shared" ref="N212:P212" si="165">ABS(N142 + N177)*(1-N85)*PowerFactor*$H26</f>
        <v>2.1736162216364249E-2</v>
      </c>
      <c r="O212" s="282">
        <f t="shared" si="165"/>
        <v>1.7352554532962406E-2</v>
      </c>
      <c r="P212" s="282">
        <f t="shared" si="165"/>
        <v>0</v>
      </c>
      <c r="Q212" s="282">
        <f t="shared" ref="Q212:S212" si="166">ABS(Q142 + Q177)*(1-Q85)*PowerFactor*$H26</f>
        <v>2.5884281187875835E-2</v>
      </c>
      <c r="R212" s="282">
        <f t="shared" si="166"/>
        <v>1.5426096697124568E-2</v>
      </c>
      <c r="S212" s="282">
        <f t="shared" si="166"/>
        <v>1.4892710278115711E-2</v>
      </c>
      <c r="T212" s="282">
        <f t="shared" ref="T212:U212" si="167">ABS(T142 + T177)*(1-T85)*PowerFactor*$H26</f>
        <v>1.5426096697124568E-2</v>
      </c>
      <c r="U212" s="282">
        <f t="shared" si="167"/>
        <v>1.5426096697124568E-2</v>
      </c>
      <c r="V212" s="282">
        <f t="shared" ref="V212:W212" si="168">ABS(V142 + V177)*(1-V85)*PowerFactor*$H26</f>
        <v>1.4892710278115711E-2</v>
      </c>
      <c r="W212" s="282">
        <f t="shared" si="168"/>
        <v>1.4892710278115711E-2</v>
      </c>
      <c r="X212" s="282">
        <f t="shared" ref="X212:Y212" si="169">ABS(X142 + X177)*(1-X85)*PowerFactor*$H26</f>
        <v>1.4555834645057483E-2</v>
      </c>
      <c r="Y212" s="282">
        <f t="shared" si="169"/>
        <v>1.4555834645057483E-2</v>
      </c>
      <c r="Z212" s="267"/>
      <c r="AA212" s="267"/>
    </row>
    <row r="213" spans="3:27" x14ac:dyDescent="0.35">
      <c r="F213" t="s">
        <v>196</v>
      </c>
      <c r="G213" t="s">
        <v>272</v>
      </c>
      <c r="H213" s="267"/>
      <c r="I213" s="267"/>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7"/>
      <c r="AA213" s="267"/>
    </row>
    <row r="214" spans="3:27" x14ac:dyDescent="0.35">
      <c r="F214" t="s">
        <v>197</v>
      </c>
      <c r="G214" t="s">
        <v>272</v>
      </c>
      <c r="H214" s="267"/>
      <c r="I214" s="267"/>
      <c r="J214" s="282">
        <f t="shared" ref="J214:K214" si="177">ABS(J144 + J179)*(1-J87)*PowerFactor*$H28</f>
        <v>0.10428346188355125</v>
      </c>
      <c r="K214" s="282">
        <f t="shared" si="177"/>
        <v>0.10428346188355125</v>
      </c>
      <c r="L214" s="282">
        <f t="shared" ref="L214:M214" si="178">ABS(L144 + L179)*(1-L87)*PowerFactor*$H28</f>
        <v>0.10716425041034114</v>
      </c>
      <c r="M214" s="282">
        <f t="shared" si="178"/>
        <v>0.10716425041034114</v>
      </c>
      <c r="N214" s="282">
        <f t="shared" ref="N214:P214" si="179">ABS(N144 + N179)*(1-N87)*PowerFactor*$H28</f>
        <v>7.1855480152572815E-2</v>
      </c>
      <c r="O214" s="282">
        <f t="shared" si="179"/>
        <v>0</v>
      </c>
      <c r="P214" s="282">
        <f t="shared" si="179"/>
        <v>0</v>
      </c>
      <c r="Q214" s="282">
        <f t="shared" ref="Q214:S214" si="180">ABS(Q144 + Q179)*(1-Q87)*PowerFactor*$H28</f>
        <v>0.10696043272526073</v>
      </c>
      <c r="R214" s="282">
        <f t="shared" si="180"/>
        <v>6.3744554697505326E-2</v>
      </c>
      <c r="S214" s="282">
        <f t="shared" si="180"/>
        <v>6.1540466364015584E-2</v>
      </c>
      <c r="T214" s="282">
        <f t="shared" ref="T214:U214" si="181">ABS(T144 + T179)*(1-T87)*PowerFactor*$H28</f>
        <v>6.3744554697505326E-2</v>
      </c>
      <c r="U214" s="282">
        <f t="shared" si="181"/>
        <v>6.3744554697505326E-2</v>
      </c>
      <c r="V214" s="282">
        <f t="shared" ref="V214:W214" si="182">ABS(V144 + V179)*(1-V87)*PowerFactor*$H28</f>
        <v>6.1540466364015584E-2</v>
      </c>
      <c r="W214" s="282">
        <f t="shared" si="182"/>
        <v>6.1540466364015584E-2</v>
      </c>
      <c r="X214" s="282">
        <f t="shared" ref="X214:Y214" si="183">ABS(X144 + X179)*(1-X87)*PowerFactor*$H28</f>
        <v>6.0148410574443138E-2</v>
      </c>
      <c r="Y214" s="282">
        <f t="shared" si="183"/>
        <v>6.0148410574443138E-2</v>
      </c>
      <c r="Z214" s="267"/>
      <c r="AA214" s="267"/>
    </row>
    <row r="215" spans="3:27" x14ac:dyDescent="0.35">
      <c r="F215" t="s">
        <v>198</v>
      </c>
      <c r="G215" t="s">
        <v>272</v>
      </c>
      <c r="H215" s="267"/>
      <c r="I215" s="267"/>
      <c r="J215" s="282">
        <f t="shared" ref="J215:K215" si="184">ABS(J145 + J180)*(1-J88)*PowerFactor*$H29</f>
        <v>2.5252403627768524E-2</v>
      </c>
      <c r="K215" s="282">
        <f t="shared" si="184"/>
        <v>2.5252403627768524E-2</v>
      </c>
      <c r="L215" s="282">
        <f t="shared" ref="L215:M215" si="185">ABS(L145 + L180)*(1-L88)*PowerFactor*$H29</f>
        <v>2.594999108152966E-2</v>
      </c>
      <c r="M215" s="282">
        <f t="shared" si="185"/>
        <v>2.594999108152966E-2</v>
      </c>
      <c r="N215" s="282">
        <f t="shared" ref="N215:P215" si="186">ABS(N145 + N180)*(1-N88)*PowerFactor*$H29</f>
        <v>0</v>
      </c>
      <c r="O215" s="282">
        <f t="shared" si="186"/>
        <v>0</v>
      </c>
      <c r="P215" s="282">
        <f t="shared" si="186"/>
        <v>0</v>
      </c>
      <c r="Q215" s="282">
        <f t="shared" ref="Q215:S215" si="187">ABS(Q145 + Q180)*(1-Q88)*PowerFactor*$H29</f>
        <v>2.5900636309860538E-2</v>
      </c>
      <c r="R215" s="282">
        <f t="shared" si="187"/>
        <v>1.5435843759111655E-2</v>
      </c>
      <c r="S215" s="282">
        <f t="shared" si="187"/>
        <v>1.4902120317031359E-2</v>
      </c>
      <c r="T215" s="282">
        <f t="shared" ref="T215:U215" si="188">ABS(T145 + T180)*(1-T88)*PowerFactor*$H29</f>
        <v>1.5435843759111655E-2</v>
      </c>
      <c r="U215" s="282">
        <f t="shared" si="188"/>
        <v>1.5435843759111655E-2</v>
      </c>
      <c r="V215" s="282">
        <f t="shared" ref="V215:W215" si="189">ABS(V145 + V180)*(1-V88)*PowerFactor*$H29</f>
        <v>1.4902120317031359E-2</v>
      </c>
      <c r="W215" s="282">
        <f t="shared" si="189"/>
        <v>1.4902120317031359E-2</v>
      </c>
      <c r="X215" s="282">
        <f t="shared" ref="X215:Y215" si="190">ABS(X145 + X180)*(1-X88)*PowerFactor*$H29</f>
        <v>0</v>
      </c>
      <c r="Y215" s="282">
        <f t="shared" si="190"/>
        <v>0</v>
      </c>
      <c r="Z215" s="267"/>
      <c r="AA215" s="267"/>
    </row>
    <row r="216" spans="3:27" x14ac:dyDescent="0.35">
      <c r="F216" t="s">
        <v>199</v>
      </c>
      <c r="G216" t="s">
        <v>272</v>
      </c>
      <c r="H216" s="267"/>
      <c r="I216" s="267"/>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6.1483163145515954E-2</v>
      </c>
      <c r="R216" s="282">
        <f t="shared" si="194"/>
        <v>3.6641744580184259E-2</v>
      </c>
      <c r="S216" s="282">
        <f t="shared" si="194"/>
        <v>0</v>
      </c>
      <c r="T216" s="282">
        <f t="shared" ref="T216:U216" si="195">ABS(T146 + T181)*(1-T89)*PowerFactor*$H30</f>
        <v>3.6641744580184259E-2</v>
      </c>
      <c r="U216" s="282">
        <f t="shared" si="195"/>
        <v>3.6641744580184259E-2</v>
      </c>
      <c r="V216" s="282">
        <f t="shared" ref="V216:W216" si="196">ABS(V146 + V181)*(1-V89)*PowerFactor*$H30</f>
        <v>0</v>
      </c>
      <c r="W216" s="282">
        <f t="shared" si="196"/>
        <v>0</v>
      </c>
      <c r="X216" s="282">
        <f t="shared" ref="X216:Y216" si="197">ABS(X146 + X181)*(1-X89)*PowerFactor*$H30</f>
        <v>0</v>
      </c>
      <c r="Y216" s="282">
        <f t="shared" si="197"/>
        <v>0</v>
      </c>
      <c r="Z216" s="267"/>
      <c r="AA216" s="267"/>
    </row>
    <row r="217" spans="3:27" x14ac:dyDescent="0.35">
      <c r="F217" t="s">
        <v>376</v>
      </c>
      <c r="G217" t="s">
        <v>272</v>
      </c>
      <c r="H217" s="267"/>
      <c r="I217" s="267"/>
      <c r="J217" s="268"/>
      <c r="K217" s="268"/>
      <c r="L217" s="268"/>
      <c r="M217" s="268"/>
      <c r="N217" s="268"/>
      <c r="O217" s="268"/>
      <c r="P217" s="268"/>
      <c r="Q217" s="268"/>
      <c r="R217" s="268"/>
      <c r="S217" s="268"/>
      <c r="T217" s="268"/>
      <c r="U217" s="268"/>
      <c r="V217" s="268"/>
      <c r="W217" s="268"/>
      <c r="X217" s="268"/>
      <c r="Y217" s="268"/>
      <c r="Z217" s="267"/>
      <c r="AA217" s="267"/>
    </row>
    <row r="218" spans="3:27" x14ac:dyDescent="0.35">
      <c r="F218" s="37" t="s">
        <v>377</v>
      </c>
      <c r="G218" s="37" t="s">
        <v>272</v>
      </c>
      <c r="H218" s="269"/>
      <c r="I218" s="269"/>
      <c r="J218" s="270"/>
      <c r="K218" s="270"/>
      <c r="L218" s="270"/>
      <c r="M218" s="270"/>
      <c r="N218" s="270"/>
      <c r="O218" s="270"/>
      <c r="P218" s="270"/>
      <c r="Q218" s="270"/>
      <c r="R218" s="270"/>
      <c r="S218" s="270"/>
      <c r="T218" s="270"/>
      <c r="U218" s="270"/>
      <c r="V218" s="270"/>
      <c r="W218" s="270"/>
      <c r="X218" s="270"/>
      <c r="Y218" s="270"/>
      <c r="Z218" s="267"/>
      <c r="AA218" s="267"/>
    </row>
    <row r="219" spans="3:27" x14ac:dyDescent="0.35">
      <c r="J219" s="89"/>
      <c r="K219" s="89"/>
      <c r="L219" s="89"/>
      <c r="M219" s="89"/>
      <c r="N219" s="89"/>
      <c r="O219" s="89"/>
      <c r="P219" s="89"/>
      <c r="Q219" s="89"/>
      <c r="R219" s="89"/>
      <c r="S219" s="89"/>
      <c r="T219" s="89"/>
      <c r="U219" s="89"/>
      <c r="V219" s="89"/>
      <c r="W219" s="89"/>
      <c r="X219" s="89"/>
      <c r="Y219" s="89"/>
    </row>
    <row r="220" spans="3:27" x14ac:dyDescent="0.35">
      <c r="C220" s="31" t="str">
        <f ca="1">INDEX('Version control'!$H$34:$H$57,MATCH($A$1,'Version control'!$F$34:$F$57,0),1)&amp;"-E: Reactive power charges for applicable customers"</f>
        <v>Section 113-E: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35">
      <c r="D221" s="32"/>
      <c r="E221" s="32"/>
      <c r="J221" s="89"/>
      <c r="K221" s="89"/>
      <c r="L221" s="89"/>
      <c r="M221" s="89"/>
      <c r="N221" s="89"/>
      <c r="O221" s="89"/>
      <c r="P221" s="89"/>
      <c r="Q221" s="89"/>
      <c r="R221" s="89"/>
      <c r="S221" s="89"/>
      <c r="T221" s="89"/>
      <c r="U221" s="89"/>
      <c r="V221" s="89"/>
      <c r="W221" s="89"/>
      <c r="X221" s="89"/>
      <c r="Y221" s="89"/>
    </row>
    <row r="222" spans="3:27" x14ac:dyDescent="0.35">
      <c r="D222"/>
      <c r="E222" s="32" t="s">
        <v>621</v>
      </c>
      <c r="J222" s="89"/>
      <c r="K222" s="89"/>
      <c r="L222" s="89"/>
      <c r="M222" s="89"/>
      <c r="N222" s="89"/>
      <c r="O222" s="89"/>
      <c r="P222" s="89"/>
      <c r="Q222" s="89"/>
      <c r="R222" s="89"/>
      <c r="S222" s="89"/>
      <c r="T222" s="89"/>
      <c r="U222" s="89"/>
      <c r="V222" s="89"/>
      <c r="W222" s="89"/>
      <c r="X222" s="89"/>
      <c r="Y222" s="89"/>
    </row>
    <row r="223" spans="3:27" x14ac:dyDescent="0.35">
      <c r="D223"/>
      <c r="F223" s="23" t="s">
        <v>189</v>
      </c>
      <c r="G223" s="23" t="s">
        <v>272</v>
      </c>
      <c r="H223" s="266"/>
      <c r="I223" s="266"/>
      <c r="J223" s="280"/>
      <c r="K223" s="280"/>
      <c r="L223" s="280"/>
      <c r="M223" s="280"/>
      <c r="N223" s="280"/>
      <c r="O223" s="280"/>
      <c r="P223" s="280"/>
      <c r="Q223" s="280"/>
      <c r="R223" s="280"/>
      <c r="S223" s="280"/>
      <c r="T223" s="280"/>
      <c r="U223" s="280"/>
      <c r="V223" s="280"/>
      <c r="W223" s="280"/>
      <c r="X223" s="280"/>
      <c r="Y223" s="280"/>
      <c r="Z223" s="267"/>
      <c r="AA223" s="267"/>
    </row>
    <row r="224" spans="3:27" x14ac:dyDescent="0.35">
      <c r="D224"/>
      <c r="F224" t="s">
        <v>191</v>
      </c>
      <c r="G224" t="s">
        <v>272</v>
      </c>
      <c r="H224" s="267"/>
      <c r="I224" s="267"/>
      <c r="J224" s="268"/>
      <c r="K224" s="268"/>
      <c r="L224" s="268"/>
      <c r="M224" s="268"/>
      <c r="N224" s="268"/>
      <c r="O224" s="268"/>
      <c r="P224" s="268"/>
      <c r="Q224" s="268"/>
      <c r="R224" s="268"/>
      <c r="S224" s="268"/>
      <c r="T224" s="268"/>
      <c r="U224" s="268"/>
      <c r="V224" s="268"/>
      <c r="W224" s="268"/>
      <c r="X224" s="268"/>
      <c r="Y224" s="268"/>
      <c r="Z224" s="267"/>
      <c r="AA224" s="267"/>
    </row>
    <row r="225" spans="5:27" customFormat="1" x14ac:dyDescent="0.35">
      <c r="E225" s="2"/>
      <c r="F225" t="s">
        <v>192</v>
      </c>
      <c r="G225" t="s">
        <v>272</v>
      </c>
      <c r="H225" s="267"/>
      <c r="I225" s="267"/>
      <c r="J225" s="282">
        <f t="shared" ref="J225:K225" si="198">J$78 * J195</f>
        <v>0</v>
      </c>
      <c r="K225" s="282">
        <f t="shared" si="198"/>
        <v>0</v>
      </c>
      <c r="L225" s="282">
        <f t="shared" ref="L225:M225" si="199">L$78 * L195</f>
        <v>0</v>
      </c>
      <c r="M225" s="282">
        <f t="shared" si="199"/>
        <v>0</v>
      </c>
      <c r="N225" s="282">
        <f t="shared" ref="N225:P225" si="200">N$78 * N195</f>
        <v>0</v>
      </c>
      <c r="O225" s="282">
        <f t="shared" si="200"/>
        <v>0</v>
      </c>
      <c r="P225" s="282">
        <f t="shared" si="200"/>
        <v>0</v>
      </c>
      <c r="Q225" s="282">
        <f t="shared" ref="Q225:S225" si="201">Q$78 * Q195</f>
        <v>0</v>
      </c>
      <c r="R225" s="282">
        <f t="shared" si="201"/>
        <v>0</v>
      </c>
      <c r="S225" s="282">
        <f t="shared" si="201"/>
        <v>0</v>
      </c>
      <c r="T225" s="282">
        <f t="shared" ref="T225:U225" si="202">T$78 * T195</f>
        <v>0</v>
      </c>
      <c r="U225" s="282">
        <f t="shared" si="202"/>
        <v>0</v>
      </c>
      <c r="V225" s="282">
        <f t="shared" ref="V225:W225" si="203">V$78 * V195</f>
        <v>0</v>
      </c>
      <c r="W225" s="282">
        <f t="shared" si="203"/>
        <v>0</v>
      </c>
      <c r="X225" s="282">
        <f t="shared" ref="X225:Y225" si="204">X$78 * X195</f>
        <v>0</v>
      </c>
      <c r="Y225" s="282">
        <f t="shared" si="204"/>
        <v>0</v>
      </c>
      <c r="Z225" s="267"/>
      <c r="AA225" s="267"/>
    </row>
    <row r="226" spans="5:27" customFormat="1" x14ac:dyDescent="0.35">
      <c r="E226" s="2"/>
      <c r="F226" t="s">
        <v>193</v>
      </c>
      <c r="G226" t="s">
        <v>272</v>
      </c>
      <c r="H226" s="267"/>
      <c r="I226" s="267"/>
      <c r="J226" s="282">
        <f t="shared" ref="J226:K226" si="205">J$78 * J196</f>
        <v>0</v>
      </c>
      <c r="K226" s="282">
        <f t="shared" si="205"/>
        <v>0</v>
      </c>
      <c r="L226" s="282">
        <f t="shared" ref="L226:M226" si="206">L$78 * L196</f>
        <v>0</v>
      </c>
      <c r="M226" s="282">
        <f t="shared" si="206"/>
        <v>0</v>
      </c>
      <c r="N226" s="282">
        <f t="shared" ref="N226:P226" si="207">N$78 * N196</f>
        <v>0</v>
      </c>
      <c r="O226" s="282">
        <f t="shared" si="207"/>
        <v>0</v>
      </c>
      <c r="P226" s="282">
        <f t="shared" si="207"/>
        <v>0</v>
      </c>
      <c r="Q226" s="282">
        <f t="shared" ref="Q226:S226" si="208">Q$78 * Q196</f>
        <v>0</v>
      </c>
      <c r="R226" s="282">
        <f t="shared" si="208"/>
        <v>0</v>
      </c>
      <c r="S226" s="282">
        <f t="shared" si="208"/>
        <v>0</v>
      </c>
      <c r="T226" s="282">
        <f t="shared" ref="T226:U226" si="209">T$78 * T196</f>
        <v>0</v>
      </c>
      <c r="U226" s="282">
        <f t="shared" si="209"/>
        <v>0</v>
      </c>
      <c r="V226" s="282">
        <f t="shared" ref="V226:W226" si="210">V$78 * V196</f>
        <v>0</v>
      </c>
      <c r="W226" s="282">
        <f t="shared" si="210"/>
        <v>0</v>
      </c>
      <c r="X226" s="282">
        <f t="shared" ref="X226:Y226" si="211">X$78 * X196</f>
        <v>0</v>
      </c>
      <c r="Y226" s="282">
        <f t="shared" si="211"/>
        <v>0</v>
      </c>
      <c r="Z226" s="267"/>
      <c r="AA226" s="267"/>
    </row>
    <row r="227" spans="5:27" customFormat="1" x14ac:dyDescent="0.35">
      <c r="E227" s="2"/>
      <c r="F227" t="s">
        <v>194</v>
      </c>
      <c r="G227" t="s">
        <v>272</v>
      </c>
      <c r="H227" s="267"/>
      <c r="I227" s="267"/>
      <c r="J227" s="282">
        <f t="shared" ref="J227:K227" si="212">J$78 * J197</f>
        <v>0</v>
      </c>
      <c r="K227" s="282">
        <f t="shared" si="212"/>
        <v>0</v>
      </c>
      <c r="L227" s="282">
        <f t="shared" ref="L227:M227" si="213">L$78 * L197</f>
        <v>0</v>
      </c>
      <c r="M227" s="282">
        <f t="shared" si="213"/>
        <v>0</v>
      </c>
      <c r="N227" s="282">
        <f t="shared" ref="N227:P227" si="214">N$78 * N197</f>
        <v>2.6737920993030892E-2</v>
      </c>
      <c r="O227" s="282">
        <f t="shared" si="214"/>
        <v>2.1345591163296727E-2</v>
      </c>
      <c r="P227" s="282">
        <f t="shared" si="214"/>
        <v>1.7121354886081571E-2</v>
      </c>
      <c r="Q227" s="282">
        <f t="shared" ref="Q227:S227" si="215">Q$78 * Q197</f>
        <v>0</v>
      </c>
      <c r="R227" s="282">
        <f t="shared" si="215"/>
        <v>0</v>
      </c>
      <c r="S227" s="282">
        <f t="shared" si="215"/>
        <v>0</v>
      </c>
      <c r="T227" s="282">
        <f t="shared" ref="T227:U227" si="216">T$78 * T197</f>
        <v>1.8975831640051264E-2</v>
      </c>
      <c r="U227" s="282">
        <f t="shared" si="216"/>
        <v>0</v>
      </c>
      <c r="V227" s="282">
        <f t="shared" ref="V227:W227" si="217">V$78 * V197</f>
        <v>1.8319706433206906E-2</v>
      </c>
      <c r="W227" s="282">
        <f t="shared" si="217"/>
        <v>0</v>
      </c>
      <c r="X227" s="282">
        <f t="shared" ref="X227:Y227" si="218">X$78 * X197</f>
        <v>1.7810446993474918E-2</v>
      </c>
      <c r="Y227" s="282">
        <f t="shared" si="218"/>
        <v>0</v>
      </c>
      <c r="Z227" s="267"/>
      <c r="AA227" s="267"/>
    </row>
    <row r="228" spans="5:27" customFormat="1" x14ac:dyDescent="0.35">
      <c r="E228" s="2"/>
      <c r="F228" t="s">
        <v>195</v>
      </c>
      <c r="G228" t="s">
        <v>272</v>
      </c>
      <c r="H228" s="267"/>
      <c r="I228" s="267"/>
      <c r="J228" s="282">
        <f t="shared" ref="J228:K228" si="219">J$78 * J198</f>
        <v>0</v>
      </c>
      <c r="K228" s="282">
        <f t="shared" si="219"/>
        <v>0</v>
      </c>
      <c r="L228" s="282">
        <f t="shared" ref="L228:M228" si="220">L$78 * L198</f>
        <v>0</v>
      </c>
      <c r="M228" s="282">
        <f t="shared" si="220"/>
        <v>0</v>
      </c>
      <c r="N228" s="282">
        <f t="shared" ref="N228:P228" si="221">N$78 * N198</f>
        <v>2.424769583069615E-2</v>
      </c>
      <c r="O228" s="282">
        <f t="shared" si="221"/>
        <v>1.9357578399192662E-2</v>
      </c>
      <c r="P228" s="282">
        <f t="shared" si="221"/>
        <v>0</v>
      </c>
      <c r="Q228" s="282">
        <f t="shared" ref="Q228:S228" si="222">Q$78 * Q198</f>
        <v>0</v>
      </c>
      <c r="R228" s="282">
        <f t="shared" si="222"/>
        <v>0</v>
      </c>
      <c r="S228" s="282">
        <f t="shared" si="222"/>
        <v>0</v>
      </c>
      <c r="T228" s="282">
        <f t="shared" ref="T228:U228" si="223">T$78 * T198</f>
        <v>1.7208525444532181E-2</v>
      </c>
      <c r="U228" s="282">
        <f t="shared" si="223"/>
        <v>0</v>
      </c>
      <c r="V228" s="282">
        <f t="shared" ref="V228:W228" si="224">V$78 * V198</f>
        <v>1.6613508186213505E-2</v>
      </c>
      <c r="W228" s="282">
        <f t="shared" si="224"/>
        <v>0</v>
      </c>
      <c r="X228" s="282">
        <f t="shared" ref="X228:Y228" si="225">X$78 * X198</f>
        <v>1.6182186749190391E-2</v>
      </c>
      <c r="Y228" s="282">
        <f t="shared" si="225"/>
        <v>0</v>
      </c>
      <c r="Z228" s="267"/>
      <c r="AA228" s="267"/>
    </row>
    <row r="229" spans="5:27" customFormat="1" x14ac:dyDescent="0.35">
      <c r="E229" s="2"/>
      <c r="F229" t="s">
        <v>196</v>
      </c>
      <c r="G229" t="s">
        <v>272</v>
      </c>
      <c r="H229" s="267"/>
      <c r="I229" s="267"/>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7"/>
      <c r="AA229" s="267"/>
    </row>
    <row r="230" spans="5:27" customFormat="1" x14ac:dyDescent="0.35">
      <c r="E230" s="2"/>
      <c r="F230" t="s">
        <v>197</v>
      </c>
      <c r="G230" t="s">
        <v>272</v>
      </c>
      <c r="H230" s="267"/>
      <c r="I230" s="267"/>
      <c r="J230" s="282">
        <f t="shared" ref="J230:K230" si="233">J$78 * J200</f>
        <v>0</v>
      </c>
      <c r="K230" s="282">
        <f t="shared" si="233"/>
        <v>0</v>
      </c>
      <c r="L230" s="282">
        <f t="shared" ref="L230:M230" si="234">L$78 * L200</f>
        <v>0</v>
      </c>
      <c r="M230" s="282">
        <f t="shared" si="234"/>
        <v>0</v>
      </c>
      <c r="N230" s="282">
        <f t="shared" ref="N230:P230" si="235">N$78 * N200</f>
        <v>4.626552120397482E-2</v>
      </c>
      <c r="O230" s="282">
        <f t="shared" si="235"/>
        <v>0</v>
      </c>
      <c r="P230" s="282">
        <f t="shared" si="235"/>
        <v>0</v>
      </c>
      <c r="Q230" s="282">
        <f t="shared" ref="Q230:S230" si="236">Q$78 * Q200</f>
        <v>0</v>
      </c>
      <c r="R230" s="282">
        <f t="shared" si="236"/>
        <v>0</v>
      </c>
      <c r="S230" s="282">
        <f t="shared" si="236"/>
        <v>0</v>
      </c>
      <c r="T230" s="282">
        <f t="shared" ref="T230:U230" si="237">T$78 * T200</f>
        <v>4.1043147171702099E-2</v>
      </c>
      <c r="U230" s="282">
        <f t="shared" si="237"/>
        <v>0</v>
      </c>
      <c r="V230" s="282">
        <f t="shared" ref="V230:W230" si="238">V$78 * V200</f>
        <v>3.9624002865492197E-2</v>
      </c>
      <c r="W230" s="282">
        <f t="shared" si="238"/>
        <v>0</v>
      </c>
      <c r="X230" s="282">
        <f t="shared" ref="X230:Y230" si="239">X$78 * X200</f>
        <v>4.1170515135076226E-2</v>
      </c>
      <c r="Y230" s="282">
        <f t="shared" si="239"/>
        <v>0</v>
      </c>
      <c r="Z230" s="267"/>
      <c r="AA230" s="267"/>
    </row>
    <row r="231" spans="5:27" customFormat="1" x14ac:dyDescent="0.35">
      <c r="E231" s="2"/>
      <c r="F231" t="s">
        <v>198</v>
      </c>
      <c r="G231" t="s">
        <v>272</v>
      </c>
      <c r="H231" s="267"/>
      <c r="I231" s="267"/>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3.7589913934958294E-3</v>
      </c>
      <c r="U231" s="282">
        <f t="shared" si="244"/>
        <v>0</v>
      </c>
      <c r="V231" s="282">
        <f t="shared" ref="V231:W231" si="245">V$78 * V201</f>
        <v>3.6290171687889676E-3</v>
      </c>
      <c r="W231" s="282">
        <f t="shared" si="245"/>
        <v>0</v>
      </c>
      <c r="X231" s="282">
        <f t="shared" ref="X231:Y231" si="246">X$78 * X201</f>
        <v>0</v>
      </c>
      <c r="Y231" s="282">
        <f t="shared" si="246"/>
        <v>0</v>
      </c>
      <c r="Z231" s="267"/>
      <c r="AA231" s="267"/>
    </row>
    <row r="232" spans="5:27" customFormat="1" x14ac:dyDescent="0.35">
      <c r="E232" s="2"/>
      <c r="F232" t="s">
        <v>199</v>
      </c>
      <c r="G232" t="s">
        <v>272</v>
      </c>
      <c r="H232" s="267"/>
      <c r="I232" s="267"/>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1.3651103656056912E-3</v>
      </c>
      <c r="U232" s="282">
        <f t="shared" si="251"/>
        <v>0</v>
      </c>
      <c r="V232" s="282">
        <f t="shared" ref="V232:W232" si="252">V$78 * V202</f>
        <v>0</v>
      </c>
      <c r="W232" s="282">
        <f t="shared" si="252"/>
        <v>0</v>
      </c>
      <c r="X232" s="282">
        <f t="shared" ref="X232:Y232" si="253">X$78 * X202</f>
        <v>0</v>
      </c>
      <c r="Y232" s="282">
        <f t="shared" si="253"/>
        <v>0</v>
      </c>
      <c r="Z232" s="267"/>
      <c r="AA232" s="267"/>
    </row>
    <row r="233" spans="5:27" customFormat="1" x14ac:dyDescent="0.35">
      <c r="E233" s="2"/>
      <c r="F233" t="s">
        <v>376</v>
      </c>
      <c r="G233" t="s">
        <v>272</v>
      </c>
      <c r="H233" s="267"/>
      <c r="I233" s="267"/>
      <c r="J233" s="268"/>
      <c r="K233" s="268"/>
      <c r="L233" s="268"/>
      <c r="M233" s="268"/>
      <c r="N233" s="268"/>
      <c r="O233" s="268"/>
      <c r="P233" s="268"/>
      <c r="Q233" s="268"/>
      <c r="R233" s="268"/>
      <c r="S233" s="268"/>
      <c r="T233" s="268"/>
      <c r="U233" s="268"/>
      <c r="V233" s="268"/>
      <c r="W233" s="268"/>
      <c r="X233" s="268"/>
      <c r="Y233" s="268"/>
      <c r="Z233" s="267"/>
      <c r="AA233" s="267"/>
    </row>
    <row r="234" spans="5:27" customFormat="1" x14ac:dyDescent="0.35">
      <c r="E234" s="2"/>
      <c r="F234" s="37" t="s">
        <v>377</v>
      </c>
      <c r="G234" s="37" t="s">
        <v>272</v>
      </c>
      <c r="H234" s="269"/>
      <c r="I234" s="269"/>
      <c r="J234" s="270"/>
      <c r="K234" s="270"/>
      <c r="L234" s="270"/>
      <c r="M234" s="270"/>
      <c r="N234" s="270"/>
      <c r="O234" s="270"/>
      <c r="P234" s="270"/>
      <c r="Q234" s="270"/>
      <c r="R234" s="270"/>
      <c r="S234" s="270"/>
      <c r="T234" s="270"/>
      <c r="U234" s="270"/>
      <c r="V234" s="270"/>
      <c r="W234" s="270"/>
      <c r="X234" s="270"/>
      <c r="Y234" s="270"/>
      <c r="Z234" s="267"/>
      <c r="AA234" s="267"/>
    </row>
    <row r="235" spans="5:27" customFormat="1" x14ac:dyDescent="0.35">
      <c r="E235" s="2"/>
      <c r="J235" s="89"/>
      <c r="K235" s="89"/>
      <c r="L235" s="89"/>
      <c r="M235" s="89"/>
      <c r="N235" s="89"/>
      <c r="O235" s="89"/>
      <c r="P235" s="89"/>
      <c r="Q235" s="89"/>
      <c r="R235" s="89"/>
      <c r="S235" s="89"/>
      <c r="T235" s="89"/>
      <c r="U235" s="89"/>
      <c r="V235" s="89"/>
      <c r="W235" s="89"/>
      <c r="X235" s="89"/>
      <c r="Y235" s="89"/>
    </row>
    <row r="236" spans="5:27" customFormat="1" x14ac:dyDescent="0.35">
      <c r="E236" s="32" t="s">
        <v>622</v>
      </c>
      <c r="J236" s="89"/>
      <c r="K236" s="89"/>
      <c r="L236" s="89"/>
      <c r="M236" s="89"/>
      <c r="N236" s="89"/>
      <c r="O236" s="89"/>
      <c r="P236" s="89"/>
      <c r="Q236" s="89"/>
      <c r="R236" s="89"/>
      <c r="S236" s="89"/>
      <c r="T236" s="89"/>
      <c r="U236" s="89"/>
      <c r="V236" s="89"/>
      <c r="W236" s="89"/>
      <c r="X236" s="89"/>
      <c r="Y236" s="89"/>
    </row>
    <row r="237" spans="5:27" customFormat="1" x14ac:dyDescent="0.35">
      <c r="E237" s="2"/>
      <c r="F237" s="23" t="s">
        <v>189</v>
      </c>
      <c r="G237" s="23" t="s">
        <v>272</v>
      </c>
      <c r="H237" s="266"/>
      <c r="I237" s="266"/>
      <c r="J237" s="281">
        <f t="shared" ref="J237:K237" si="254">J$78 * J207</f>
        <v>0</v>
      </c>
      <c r="K237" s="281">
        <f t="shared" si="254"/>
        <v>0</v>
      </c>
      <c r="L237" s="281">
        <f t="shared" ref="L237:M237" si="255">L$78 * L207</f>
        <v>0</v>
      </c>
      <c r="M237" s="281">
        <f t="shared" si="255"/>
        <v>0</v>
      </c>
      <c r="N237" s="281">
        <f t="shared" ref="N237:P237" si="256">N$78 * N207</f>
        <v>7.5299809977819793E-2</v>
      </c>
      <c r="O237" s="281">
        <f t="shared" si="256"/>
        <v>6.011383453782413E-2</v>
      </c>
      <c r="P237" s="281">
        <f t="shared" si="256"/>
        <v>6.0592859764925511E-2</v>
      </c>
      <c r="Q237" s="281">
        <f t="shared" ref="Q237:S237" si="257">Q$78 * Q207</f>
        <v>0</v>
      </c>
      <c r="R237" s="281">
        <f t="shared" si="257"/>
        <v>0</v>
      </c>
      <c r="S237" s="281">
        <f t="shared" si="257"/>
        <v>0</v>
      </c>
      <c r="T237" s="281">
        <f t="shared" ref="T237:U237" si="258">T$78 * T207</f>
        <v>5.3440075503229684E-2</v>
      </c>
      <c r="U237" s="281">
        <f t="shared" si="258"/>
        <v>0</v>
      </c>
      <c r="V237" s="281">
        <f t="shared" ref="V237:W237" si="259">V$78 * V207</f>
        <v>5.1592283993563873E-2</v>
      </c>
      <c r="W237" s="281">
        <f t="shared" si="259"/>
        <v>0</v>
      </c>
      <c r="X237" s="281">
        <f t="shared" ref="X237:Y237" si="260">X$78 * X207</f>
        <v>5.0425257776932839E-2</v>
      </c>
      <c r="Y237" s="281">
        <f t="shared" si="260"/>
        <v>0</v>
      </c>
      <c r="Z237" s="267"/>
      <c r="AA237" s="267"/>
    </row>
    <row r="238" spans="5:27" customFormat="1" x14ac:dyDescent="0.35">
      <c r="E238" s="2"/>
      <c r="F238" t="s">
        <v>191</v>
      </c>
      <c r="G238" t="s">
        <v>272</v>
      </c>
      <c r="H238" s="267"/>
      <c r="I238" s="267"/>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7"/>
      <c r="AA238" s="267"/>
    </row>
    <row r="239" spans="5:27" customFormat="1" x14ac:dyDescent="0.35">
      <c r="E239" s="2"/>
      <c r="F239" t="s">
        <v>192</v>
      </c>
      <c r="G239" t="s">
        <v>272</v>
      </c>
      <c r="H239" s="267"/>
      <c r="I239" s="267"/>
      <c r="J239" s="282">
        <f t="shared" ref="J239:K239" si="268">J$78 * J209</f>
        <v>0</v>
      </c>
      <c r="K239" s="282">
        <f t="shared" si="268"/>
        <v>0</v>
      </c>
      <c r="L239" s="282">
        <f t="shared" ref="L239:M239" si="269">L$78 * L209</f>
        <v>0</v>
      </c>
      <c r="M239" s="282">
        <f t="shared" si="269"/>
        <v>0</v>
      </c>
      <c r="N239" s="282">
        <f t="shared" ref="N239:P239" si="270">N$78 * N209</f>
        <v>0</v>
      </c>
      <c r="O239" s="282">
        <f t="shared" si="270"/>
        <v>0</v>
      </c>
      <c r="P239" s="282">
        <f t="shared" si="270"/>
        <v>0</v>
      </c>
      <c r="Q239" s="282">
        <f t="shared" ref="Q239:S239" si="271">Q$78 * Q209</f>
        <v>0</v>
      </c>
      <c r="R239" s="282">
        <f t="shared" si="271"/>
        <v>0</v>
      </c>
      <c r="S239" s="282">
        <f t="shared" si="271"/>
        <v>0</v>
      </c>
      <c r="T239" s="282">
        <f t="shared" ref="T239:U239" si="272">T$78 * T209</f>
        <v>0</v>
      </c>
      <c r="U239" s="282">
        <f t="shared" si="272"/>
        <v>0</v>
      </c>
      <c r="V239" s="282">
        <f t="shared" ref="V239:W239" si="273">V$78 * V209</f>
        <v>0</v>
      </c>
      <c r="W239" s="282">
        <f t="shared" si="273"/>
        <v>0</v>
      </c>
      <c r="X239" s="282">
        <f t="shared" ref="X239:Y239" si="274">X$78 * X209</f>
        <v>0</v>
      </c>
      <c r="Y239" s="282">
        <f t="shared" si="274"/>
        <v>0</v>
      </c>
      <c r="Z239" s="267"/>
      <c r="AA239" s="267"/>
    </row>
    <row r="240" spans="5:27" customFormat="1" x14ac:dyDescent="0.35">
      <c r="E240" s="2"/>
      <c r="F240" t="s">
        <v>193</v>
      </c>
      <c r="G240" t="s">
        <v>272</v>
      </c>
      <c r="H240" s="267"/>
      <c r="I240" s="267"/>
      <c r="J240" s="282">
        <f t="shared" ref="J240:K240" si="275">J$78 * J210</f>
        <v>0</v>
      </c>
      <c r="K240" s="282">
        <f t="shared" si="275"/>
        <v>0</v>
      </c>
      <c r="L240" s="282">
        <f t="shared" ref="L240:M240" si="276">L$78 * L210</f>
        <v>0</v>
      </c>
      <c r="M240" s="282">
        <f t="shared" si="276"/>
        <v>0</v>
      </c>
      <c r="N240" s="282">
        <f t="shared" ref="N240:P240" si="277">N$78 * N210</f>
        <v>0</v>
      </c>
      <c r="O240" s="282">
        <f t="shared" si="277"/>
        <v>0</v>
      </c>
      <c r="P240" s="282">
        <f t="shared" si="277"/>
        <v>0</v>
      </c>
      <c r="Q240" s="282">
        <f t="shared" ref="Q240:S240" si="278">Q$78 * Q210</f>
        <v>0</v>
      </c>
      <c r="R240" s="282">
        <f t="shared" si="278"/>
        <v>0</v>
      </c>
      <c r="S240" s="282">
        <f t="shared" si="278"/>
        <v>0</v>
      </c>
      <c r="T240" s="282">
        <f t="shared" ref="T240:U240" si="279">T$78 * T210</f>
        <v>0</v>
      </c>
      <c r="U240" s="282">
        <f t="shared" si="279"/>
        <v>0</v>
      </c>
      <c r="V240" s="282">
        <f t="shared" ref="V240:W240" si="280">V$78 * V210</f>
        <v>0</v>
      </c>
      <c r="W240" s="282">
        <f t="shared" si="280"/>
        <v>0</v>
      </c>
      <c r="X240" s="282">
        <f t="shared" ref="X240:Y240" si="281">X$78 * X210</f>
        <v>0</v>
      </c>
      <c r="Y240" s="282">
        <f t="shared" si="281"/>
        <v>0</v>
      </c>
      <c r="Z240" s="267"/>
      <c r="AA240" s="267"/>
    </row>
    <row r="241" spans="2:27" x14ac:dyDescent="0.35">
      <c r="D241"/>
      <c r="F241" t="s">
        <v>194</v>
      </c>
      <c r="G241" t="s">
        <v>272</v>
      </c>
      <c r="H241" s="267"/>
      <c r="I241" s="267"/>
      <c r="J241" s="282">
        <f t="shared" ref="J241:K241" si="282">J$78 * J211</f>
        <v>0</v>
      </c>
      <c r="K241" s="282">
        <f t="shared" si="282"/>
        <v>0</v>
      </c>
      <c r="L241" s="282">
        <f t="shared" ref="L241:M241" si="283">L$78 * L211</f>
        <v>0</v>
      </c>
      <c r="M241" s="282">
        <f t="shared" si="283"/>
        <v>0</v>
      </c>
      <c r="N241" s="282">
        <f t="shared" ref="N241:P241" si="284">N$78 * N211</f>
        <v>2.4023265887430232E-2</v>
      </c>
      <c r="O241" s="282">
        <f t="shared" si="284"/>
        <v>1.9178410025742651E-2</v>
      </c>
      <c r="P241" s="282">
        <f t="shared" si="284"/>
        <v>1.5464988625510207E-2</v>
      </c>
      <c r="Q241" s="282">
        <f t="shared" ref="Q241:S241" si="285">Q$78 * Q211</f>
        <v>0</v>
      </c>
      <c r="R241" s="282">
        <f t="shared" si="285"/>
        <v>0</v>
      </c>
      <c r="S241" s="282">
        <f t="shared" si="285"/>
        <v>0</v>
      </c>
      <c r="T241" s="282">
        <f t="shared" ref="T241:U241" si="286">T$78 * T211</f>
        <v>1.7049248108814478E-2</v>
      </c>
      <c r="U241" s="282">
        <f t="shared" si="286"/>
        <v>0</v>
      </c>
      <c r="V241" s="282">
        <f t="shared" ref="V241:W241" si="287">V$78 * V211</f>
        <v>1.6459738165106607E-2</v>
      </c>
      <c r="W241" s="282">
        <f t="shared" si="287"/>
        <v>0</v>
      </c>
      <c r="X241" s="282">
        <f t="shared" ref="X241:Y241" si="288">X$78 * X211</f>
        <v>1.6087416095396372E-2</v>
      </c>
      <c r="Y241" s="282">
        <f t="shared" si="288"/>
        <v>0</v>
      </c>
      <c r="Z241" s="267"/>
      <c r="AA241" s="267"/>
    </row>
    <row r="242" spans="2:27" x14ac:dyDescent="0.35">
      <c r="D242"/>
      <c r="F242" t="s">
        <v>195</v>
      </c>
      <c r="G242" t="s">
        <v>272</v>
      </c>
      <c r="H242" s="267"/>
      <c r="I242" s="267"/>
      <c r="J242" s="282">
        <f t="shared" ref="J242:K242" si="289">J$78 * J212</f>
        <v>0</v>
      </c>
      <c r="K242" s="282">
        <f t="shared" si="289"/>
        <v>0</v>
      </c>
      <c r="L242" s="282">
        <f t="shared" ref="L242:M242" si="290">L$78 * L212</f>
        <v>0</v>
      </c>
      <c r="M242" s="282">
        <f t="shared" si="290"/>
        <v>0</v>
      </c>
      <c r="N242" s="282">
        <f t="shared" ref="N242:P242" si="291">N$78 * N212</f>
        <v>2.1736162216364249E-2</v>
      </c>
      <c r="O242" s="282">
        <f t="shared" si="291"/>
        <v>1.7352554532962406E-2</v>
      </c>
      <c r="P242" s="282">
        <f t="shared" si="291"/>
        <v>0</v>
      </c>
      <c r="Q242" s="282">
        <f t="shared" ref="Q242:S242" si="292">Q$78 * Q212</f>
        <v>0</v>
      </c>
      <c r="R242" s="282">
        <f t="shared" si="292"/>
        <v>0</v>
      </c>
      <c r="S242" s="282">
        <f t="shared" si="292"/>
        <v>0</v>
      </c>
      <c r="T242" s="282">
        <f t="shared" ref="T242:U242" si="293">T$78 * T212</f>
        <v>1.5426096697124568E-2</v>
      </c>
      <c r="U242" s="282">
        <f t="shared" si="293"/>
        <v>0</v>
      </c>
      <c r="V242" s="282">
        <f t="shared" ref="V242:W242" si="294">V$78 * V212</f>
        <v>1.4892710278115711E-2</v>
      </c>
      <c r="W242" s="282">
        <f t="shared" si="294"/>
        <v>0</v>
      </c>
      <c r="X242" s="282">
        <f t="shared" ref="X242:Y242" si="295">X$78 * X212</f>
        <v>1.4555834645057483E-2</v>
      </c>
      <c r="Y242" s="282">
        <f t="shared" si="295"/>
        <v>0</v>
      </c>
      <c r="Z242" s="267"/>
      <c r="AA242" s="267"/>
    </row>
    <row r="243" spans="2:27" x14ac:dyDescent="0.35">
      <c r="D243"/>
      <c r="F243" t="s">
        <v>196</v>
      </c>
      <c r="G243" t="s">
        <v>272</v>
      </c>
      <c r="H243" s="267"/>
      <c r="I243" s="267"/>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7"/>
      <c r="AA243" s="267"/>
    </row>
    <row r="244" spans="2:27" x14ac:dyDescent="0.35">
      <c r="D244"/>
      <c r="F244" t="s">
        <v>197</v>
      </c>
      <c r="G244" t="s">
        <v>272</v>
      </c>
      <c r="H244" s="267"/>
      <c r="I244" s="267"/>
      <c r="J244" s="282">
        <f t="shared" ref="J244:K244" si="303">J$78 * J214</f>
        <v>0</v>
      </c>
      <c r="K244" s="282">
        <f t="shared" si="303"/>
        <v>0</v>
      </c>
      <c r="L244" s="282">
        <f t="shared" ref="L244:M244" si="304">L$78 * L214</f>
        <v>0</v>
      </c>
      <c r="M244" s="282">
        <f t="shared" si="304"/>
        <v>0</v>
      </c>
      <c r="N244" s="282">
        <f t="shared" ref="N244:P244" si="305">N$78 * N214</f>
        <v>7.1855480152572815E-2</v>
      </c>
      <c r="O244" s="282">
        <f t="shared" si="305"/>
        <v>0</v>
      </c>
      <c r="P244" s="282">
        <f t="shared" si="305"/>
        <v>0</v>
      </c>
      <c r="Q244" s="282">
        <f t="shared" ref="Q244:S244" si="306">Q$78 * Q214</f>
        <v>0</v>
      </c>
      <c r="R244" s="282">
        <f t="shared" si="306"/>
        <v>0</v>
      </c>
      <c r="S244" s="282">
        <f t="shared" si="306"/>
        <v>0</v>
      </c>
      <c r="T244" s="282">
        <f t="shared" ref="T244:U244" si="307">T$78 * T214</f>
        <v>6.3744554697505326E-2</v>
      </c>
      <c r="U244" s="282">
        <f t="shared" si="307"/>
        <v>0</v>
      </c>
      <c r="V244" s="282">
        <f t="shared" ref="V244:W244" si="308">V$78 * V214</f>
        <v>6.1540466364015584E-2</v>
      </c>
      <c r="W244" s="282">
        <f t="shared" si="308"/>
        <v>0</v>
      </c>
      <c r="X244" s="282">
        <f t="shared" ref="X244:Y244" si="309">X$78 * X214</f>
        <v>6.0148410574443138E-2</v>
      </c>
      <c r="Y244" s="282">
        <f t="shared" si="309"/>
        <v>0</v>
      </c>
      <c r="Z244" s="267"/>
      <c r="AA244" s="267"/>
    </row>
    <row r="245" spans="2:27" x14ac:dyDescent="0.35">
      <c r="D245"/>
      <c r="F245" t="s">
        <v>198</v>
      </c>
      <c r="G245" t="s">
        <v>272</v>
      </c>
      <c r="H245" s="267"/>
      <c r="I245" s="267"/>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1.5435843759111655E-2</v>
      </c>
      <c r="U245" s="282">
        <f t="shared" si="314"/>
        <v>0</v>
      </c>
      <c r="V245" s="282">
        <f t="shared" ref="V245:W245" si="315">V$78 * V215</f>
        <v>1.4902120317031359E-2</v>
      </c>
      <c r="W245" s="282">
        <f t="shared" si="315"/>
        <v>0</v>
      </c>
      <c r="X245" s="282">
        <f t="shared" ref="X245:Y245" si="316">X$78 * X215</f>
        <v>0</v>
      </c>
      <c r="Y245" s="282">
        <f t="shared" si="316"/>
        <v>0</v>
      </c>
      <c r="Z245" s="267"/>
      <c r="AA245" s="267"/>
    </row>
    <row r="246" spans="2:27" x14ac:dyDescent="0.35">
      <c r="D246"/>
      <c r="F246" t="s">
        <v>199</v>
      </c>
      <c r="G246" t="s">
        <v>272</v>
      </c>
      <c r="H246" s="267"/>
      <c r="I246" s="267"/>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3.6641744580184259E-2</v>
      </c>
      <c r="U246" s="282">
        <f t="shared" si="321"/>
        <v>0</v>
      </c>
      <c r="V246" s="282">
        <f t="shared" ref="V246:W246" si="322">V$78 * V216</f>
        <v>0</v>
      </c>
      <c r="W246" s="282">
        <f t="shared" si="322"/>
        <v>0</v>
      </c>
      <c r="X246" s="282">
        <f t="shared" ref="X246:Y246" si="323">X$78 * X216</f>
        <v>0</v>
      </c>
      <c r="Y246" s="282">
        <f t="shared" si="323"/>
        <v>0</v>
      </c>
      <c r="Z246" s="267"/>
      <c r="AA246" s="267"/>
    </row>
    <row r="247" spans="2:27" x14ac:dyDescent="0.35">
      <c r="D247"/>
      <c r="F247" t="s">
        <v>376</v>
      </c>
      <c r="G247" t="s">
        <v>272</v>
      </c>
      <c r="H247" s="267"/>
      <c r="I247" s="267"/>
      <c r="J247" s="268"/>
      <c r="K247" s="268"/>
      <c r="L247" s="268"/>
      <c r="M247" s="268"/>
      <c r="N247" s="268"/>
      <c r="O247" s="268"/>
      <c r="P247" s="268"/>
      <c r="Q247" s="268"/>
      <c r="R247" s="268"/>
      <c r="S247" s="268"/>
      <c r="T247" s="268"/>
      <c r="U247" s="268"/>
      <c r="V247" s="268"/>
      <c r="W247" s="268"/>
      <c r="X247" s="268"/>
      <c r="Y247" s="268"/>
      <c r="Z247" s="267"/>
      <c r="AA247" s="267"/>
    </row>
    <row r="248" spans="2:27" x14ac:dyDescent="0.35">
      <c r="D248"/>
      <c r="F248" s="37" t="s">
        <v>377</v>
      </c>
      <c r="G248" s="37" t="s">
        <v>272</v>
      </c>
      <c r="H248" s="269"/>
      <c r="I248" s="269"/>
      <c r="J248" s="270"/>
      <c r="K248" s="270"/>
      <c r="L248" s="270"/>
      <c r="M248" s="270"/>
      <c r="N248" s="270"/>
      <c r="O248" s="270"/>
      <c r="P248" s="270"/>
      <c r="Q248" s="270"/>
      <c r="R248" s="270"/>
      <c r="S248" s="270"/>
      <c r="T248" s="270"/>
      <c r="U248" s="270"/>
      <c r="V248" s="270"/>
      <c r="W248" s="270"/>
      <c r="X248" s="270"/>
      <c r="Y248" s="270"/>
      <c r="Z248" s="267"/>
      <c r="AA248" s="267"/>
    </row>
    <row r="249" spans="2:27" x14ac:dyDescent="0.35">
      <c r="C249" s="88"/>
      <c r="J249" s="89"/>
      <c r="K249" s="89"/>
      <c r="L249" s="89"/>
      <c r="M249" s="89"/>
      <c r="N249" s="89"/>
      <c r="O249" s="89"/>
      <c r="P249" s="89"/>
      <c r="Q249" s="89"/>
      <c r="R249" s="89"/>
      <c r="S249" s="89"/>
      <c r="T249" s="89"/>
      <c r="U249" s="89"/>
      <c r="V249" s="89"/>
      <c r="W249" s="89"/>
      <c r="X249" s="89"/>
      <c r="Y249" s="89"/>
    </row>
    <row r="250" spans="2:27" x14ac:dyDescent="0.35">
      <c r="E250" t="s">
        <v>684</v>
      </c>
      <c r="G250" t="s">
        <v>272</v>
      </c>
      <c r="H250" s="267"/>
      <c r="I250" s="267" t="s">
        <v>154</v>
      </c>
      <c r="J250" s="272">
        <f t="shared" ref="J250:K250" si="324">SUM(J223:J234,J237:J248)</f>
        <v>0</v>
      </c>
      <c r="K250" s="272">
        <f t="shared" si="324"/>
        <v>0</v>
      </c>
      <c r="L250" s="272">
        <f t="shared" ref="L250:M250" si="325">SUM(L223:L234,L237:L248)</f>
        <v>0</v>
      </c>
      <c r="M250" s="272">
        <f t="shared" si="325"/>
        <v>0</v>
      </c>
      <c r="N250" s="272">
        <f t="shared" ref="N250:P250" si="326">SUM(N223:N234,N237:N248)</f>
        <v>0.29016585626188895</v>
      </c>
      <c r="O250" s="272">
        <f t="shared" si="326"/>
        <v>0.13734796865901858</v>
      </c>
      <c r="P250" s="272">
        <f t="shared" si="326"/>
        <v>9.3179203276517297E-2</v>
      </c>
      <c r="Q250" s="272">
        <f t="shared" ref="Q250:S250" si="327">SUM(Q223:Q234,Q237:Q248)</f>
        <v>0</v>
      </c>
      <c r="R250" s="272">
        <f t="shared" si="327"/>
        <v>0</v>
      </c>
      <c r="S250" s="272">
        <f t="shared" si="327"/>
        <v>0</v>
      </c>
      <c r="T250" s="272">
        <f t="shared" ref="T250:U250" si="328">SUM(T223:T234,T237:T248)</f>
        <v>0.28408916936135709</v>
      </c>
      <c r="U250" s="272">
        <f t="shared" si="328"/>
        <v>0</v>
      </c>
      <c r="V250" s="272">
        <f t="shared" ref="V250:W250" si="329">SUM(V223:V234,V237:V248)</f>
        <v>0.23757355377153469</v>
      </c>
      <c r="W250" s="272">
        <f t="shared" si="329"/>
        <v>0</v>
      </c>
      <c r="X250" s="272">
        <f t="shared" ref="X250:Y250" si="330">SUM(X223:X234,X237:X248)</f>
        <v>0.21638006796957138</v>
      </c>
      <c r="Y250" s="272">
        <f t="shared" si="330"/>
        <v>0</v>
      </c>
      <c r="Z250" s="267"/>
      <c r="AA250" s="267" t="s">
        <v>683</v>
      </c>
    </row>
    <row r="251" spans="2:27" x14ac:dyDescent="0.35">
      <c r="C251" s="88"/>
    </row>
    <row r="252" spans="2:27" x14ac:dyDescent="0.35">
      <c r="B252" s="30" t="s">
        <v>231</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35">
      <c r="E254" t="s">
        <v>232</v>
      </c>
      <c r="G254" s="6" t="s">
        <v>55</v>
      </c>
      <c r="H254" s="103">
        <f t="array" ref="H254">SUM(IF(ISERROR(H21:Y250), 1))</f>
        <v>0</v>
      </c>
    </row>
    <row r="256" spans="2:27" x14ac:dyDescent="0.35">
      <c r="B256" s="30" t="s">
        <v>106</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35">
      <c r="R279" s="63"/>
      <c r="S279" s="63"/>
      <c r="T279" s="63"/>
      <c r="U279" s="63"/>
      <c r="V279" s="63"/>
      <c r="W279" s="63"/>
    </row>
    <row r="280" spans="18:23" x14ac:dyDescent="0.35">
      <c r="R280" s="63"/>
      <c r="S280" s="63"/>
      <c r="T280" s="63"/>
      <c r="U280" s="63"/>
      <c r="V280" s="63"/>
      <c r="W280" s="63"/>
    </row>
    <row r="281" spans="18:23" x14ac:dyDescent="0.35">
      <c r="R281" s="63"/>
      <c r="S281" s="63"/>
      <c r="T281" s="63"/>
      <c r="U281" s="63"/>
      <c r="V281" s="63"/>
      <c r="W281" s="63"/>
    </row>
    <row r="282" spans="18:23" x14ac:dyDescent="0.35">
      <c r="R282" s="63"/>
      <c r="S282" s="63"/>
      <c r="T282" s="63"/>
      <c r="U282" s="63"/>
      <c r="V282" s="63"/>
      <c r="W282" s="63"/>
    </row>
    <row r="283" spans="18:23" x14ac:dyDescent="0.35">
      <c r="R283" s="63"/>
      <c r="S283" s="63"/>
      <c r="T283" s="63"/>
      <c r="U283" s="63"/>
      <c r="V283" s="63"/>
      <c r="W283" s="63"/>
    </row>
    <row r="284" spans="18:23" x14ac:dyDescent="0.35">
      <c r="R284" s="63"/>
      <c r="S284" s="63"/>
      <c r="T284" s="63"/>
      <c r="U284" s="63"/>
      <c r="V284" s="63"/>
      <c r="W284" s="63"/>
    </row>
    <row r="285" spans="18:23" x14ac:dyDescent="0.35">
      <c r="R285" s="63"/>
      <c r="S285" s="63"/>
      <c r="T285" s="63"/>
      <c r="U285" s="63"/>
      <c r="V285" s="63"/>
      <c r="W285" s="63"/>
    </row>
    <row r="286" spans="18:23" x14ac:dyDescent="0.35">
      <c r="R286" s="63"/>
      <c r="S286" s="63"/>
      <c r="T286" s="63"/>
      <c r="U286" s="63"/>
      <c r="V286" s="63"/>
      <c r="W286" s="63"/>
    </row>
    <row r="287" spans="18:23" x14ac:dyDescent="0.35">
      <c r="R287" s="63"/>
      <c r="S287" s="63"/>
      <c r="T287" s="63"/>
      <c r="U287" s="63"/>
      <c r="V287" s="63"/>
      <c r="W287" s="63"/>
    </row>
    <row r="288" spans="18:23" x14ac:dyDescent="0.35">
      <c r="R288" s="63"/>
      <c r="S288" s="63"/>
      <c r="T288" s="63"/>
      <c r="U288" s="63"/>
      <c r="V288" s="63"/>
      <c r="W288" s="63"/>
    </row>
    <row r="289" spans="18:23" x14ac:dyDescent="0.35">
      <c r="R289" s="63"/>
      <c r="S289" s="63"/>
      <c r="T289" s="63"/>
      <c r="U289" s="63"/>
      <c r="V289" s="63"/>
      <c r="W289" s="63"/>
    </row>
    <row r="290" spans="18:23" x14ac:dyDescent="0.35">
      <c r="R290" s="63"/>
      <c r="S290" s="63"/>
      <c r="T290" s="63"/>
      <c r="U290" s="63"/>
      <c r="V290" s="63"/>
      <c r="W290" s="63"/>
    </row>
    <row r="291" spans="18:23" x14ac:dyDescent="0.35">
      <c r="R291" s="63"/>
      <c r="S291" s="63"/>
      <c r="T291" s="63"/>
      <c r="U291" s="63"/>
      <c r="V291" s="63"/>
      <c r="W291" s="63"/>
    </row>
    <row r="292" spans="18:23" x14ac:dyDescent="0.35">
      <c r="R292" s="63"/>
      <c r="S292" s="63"/>
      <c r="T292" s="63"/>
      <c r="U292" s="63"/>
      <c r="V292" s="63"/>
      <c r="W292" s="63"/>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15" width="24.54296875" hidden="1" customWidth="1"/>
    <col min="316" max="16384" width="8.54296875" hidden="1"/>
  </cols>
  <sheetData>
    <row r="1" spans="1:27" s="1" customFormat="1" x14ac:dyDescent="0.35">
      <c r="A1" s="1" t="str">
        <f ca="1">MID(CELL("filename",A1),FIND("]",CELL("filename",A1))+1,255)</f>
        <v>Fixed charges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H165 &amp; IF(H165 = 1, " issue", " issues") &amp;" identified in checks on this sheet"</f>
        <v>0 issues identified in checks on this sheet</v>
      </c>
      <c r="B4" s="13"/>
      <c r="C4" s="13"/>
      <c r="D4" s="13"/>
      <c r="E4" s="13"/>
      <c r="F4" s="13"/>
      <c r="G4" s="13"/>
      <c r="H4" s="14"/>
      <c r="I4" s="14"/>
    </row>
    <row r="5" spans="1:27" ht="43.5" x14ac:dyDescent="0.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5">
      <c r="D9" s="29" t="s">
        <v>716</v>
      </c>
      <c r="E9"/>
    </row>
    <row r="10" spans="1:27" x14ac:dyDescent="0.35">
      <c r="D10" s="91" t="s">
        <v>717</v>
      </c>
      <c r="E10"/>
    </row>
    <row r="11" spans="1:27" x14ac:dyDescent="0.35">
      <c r="D11" s="29" t="s">
        <v>718</v>
      </c>
      <c r="E11"/>
    </row>
    <row r="12" spans="1:27" x14ac:dyDescent="0.35">
      <c r="D12" s="91" t="s">
        <v>719</v>
      </c>
      <c r="E12"/>
    </row>
    <row r="14" spans="1:27" x14ac:dyDescent="0.35">
      <c r="B14" s="30" t="s">
        <v>720</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3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35">
      <c r="D17"/>
      <c r="E17" s="32"/>
      <c r="I17" t="s">
        <v>154</v>
      </c>
      <c r="AA17" t="s">
        <v>721</v>
      </c>
    </row>
    <row r="18" spans="3:27" x14ac:dyDescent="0.35">
      <c r="C18" s="88"/>
      <c r="E18" t="s">
        <v>549</v>
      </c>
      <c r="G18" t="s">
        <v>212</v>
      </c>
      <c r="J18" s="120">
        <f>'Volume adjustments'!J275</f>
        <v>712324.84882153419</v>
      </c>
      <c r="K18" s="120">
        <f>'Volume adjustments'!K275</f>
        <v>72371.122331145176</v>
      </c>
      <c r="L18" s="120">
        <f>'Volume adjustments'!L275</f>
        <v>74779.948743062254</v>
      </c>
      <c r="M18" s="120">
        <f>'Volume adjustments'!M275</f>
        <v>2436.905804440873</v>
      </c>
      <c r="N18" s="120">
        <f>'Volume adjustments'!N275</f>
        <v>6781.647497057761</v>
      </c>
      <c r="O18" s="120">
        <f>'Volume adjustments'!O275</f>
        <v>121.56639433773661</v>
      </c>
      <c r="P18" s="120">
        <f>'Volume adjustments'!P275</f>
        <v>697.99564992525643</v>
      </c>
      <c r="Q18" s="120">
        <f>'Volume adjustments'!Q275</f>
        <v>1889.7423367815629</v>
      </c>
      <c r="R18" s="120">
        <f>'Volume adjustments'!R275</f>
        <v>376.80645161290334</v>
      </c>
      <c r="S18" s="120">
        <f>'Volume adjustments'!S275</f>
        <v>1</v>
      </c>
      <c r="T18" s="120">
        <f>'Volume adjustments'!T275</f>
        <v>812.9295222209638</v>
      </c>
      <c r="U18" s="120">
        <f>'Volume adjustments'!U275</f>
        <v>0</v>
      </c>
      <c r="V18" s="120">
        <f>'Volume adjustments'!V275</f>
        <v>2</v>
      </c>
      <c r="W18" s="120">
        <f>'Volume adjustments'!W275</f>
        <v>0</v>
      </c>
      <c r="X18" s="120">
        <f>'Volume adjustments'!X275</f>
        <v>348.45161290322585</v>
      </c>
      <c r="Y18" s="120">
        <f>'Volume adjustments'!Y275</f>
        <v>0</v>
      </c>
    </row>
    <row r="19" spans="3:27" x14ac:dyDescent="0.35">
      <c r="C19" s="88"/>
      <c r="E19"/>
      <c r="J19" s="120"/>
      <c r="K19" s="120"/>
      <c r="L19" s="120"/>
      <c r="M19" s="120"/>
      <c r="N19" s="120"/>
      <c r="O19" s="120"/>
      <c r="P19" s="120"/>
      <c r="Q19" s="120"/>
      <c r="R19" s="120"/>
      <c r="S19" s="120"/>
      <c r="T19" s="120"/>
      <c r="U19" s="120"/>
      <c r="V19" s="120"/>
      <c r="W19" s="120"/>
      <c r="X19" s="120"/>
      <c r="Y19" s="120"/>
    </row>
    <row r="20" spans="3:27" x14ac:dyDescent="0.35">
      <c r="C20" s="88"/>
      <c r="E20" t="s">
        <v>471</v>
      </c>
      <c r="G20" t="s">
        <v>172</v>
      </c>
      <c r="H20" s="63"/>
      <c r="J20" s="120">
        <f>'System peak demand'!J200</f>
        <v>681.04547108150587</v>
      </c>
      <c r="K20" s="120">
        <f>'System peak demand'!K200</f>
        <v>253.03646424176199</v>
      </c>
      <c r="L20" s="120">
        <f>'System peak demand'!L200</f>
        <v>272.37396367434974</v>
      </c>
      <c r="M20" s="120">
        <f>'System peak demand'!M200</f>
        <v>12.336036782505307</v>
      </c>
      <c r="N20" s="120">
        <f>'System peak demand'!N200</f>
        <v>280.47476048123718</v>
      </c>
      <c r="O20" s="120">
        <f>'System peak demand'!O200</f>
        <v>18.585817515469756</v>
      </c>
      <c r="P20" s="120">
        <f>'System peak demand'!P200</f>
        <v>129.38833425301416</v>
      </c>
      <c r="Q20" s="120">
        <f>'System peak demand'!Q200</f>
        <v>22.87438501842605</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35">
      <c r="J21" s="89"/>
      <c r="K21" s="89"/>
      <c r="L21" s="89"/>
      <c r="M21" s="89"/>
      <c r="N21" s="89"/>
      <c r="O21" s="89"/>
      <c r="P21" s="89"/>
      <c r="Q21" s="89"/>
      <c r="R21" s="89"/>
      <c r="S21" s="89"/>
      <c r="T21" s="89"/>
      <c r="U21" s="89"/>
      <c r="V21" s="89"/>
      <c r="W21" s="89"/>
      <c r="X21" s="89"/>
      <c r="Y21" s="89"/>
    </row>
    <row r="22" spans="3:27" x14ac:dyDescent="0.3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35">
      <c r="D23"/>
      <c r="E23" s="32"/>
      <c r="I23" t="s">
        <v>154</v>
      </c>
      <c r="J23" s="89"/>
      <c r="K23" s="89"/>
      <c r="L23" s="89"/>
      <c r="M23" s="89"/>
      <c r="N23" s="89"/>
      <c r="O23" s="89"/>
      <c r="P23" s="89"/>
      <c r="Q23" s="89"/>
      <c r="R23" s="89"/>
      <c r="S23" s="89"/>
      <c r="T23" s="89"/>
      <c r="U23" s="89"/>
      <c r="V23" s="89"/>
      <c r="W23" s="89"/>
      <c r="X23" s="89"/>
      <c r="Y23" s="89"/>
      <c r="AA23" t="s">
        <v>721</v>
      </c>
    </row>
    <row r="24" spans="3:27" x14ac:dyDescent="0.35">
      <c r="C24" s="88"/>
      <c r="E24" s="32" t="s">
        <v>621</v>
      </c>
      <c r="J24" s="89"/>
      <c r="K24" s="89"/>
      <c r="L24" s="89"/>
      <c r="M24" s="89"/>
      <c r="N24" s="89"/>
      <c r="O24" s="89"/>
      <c r="P24" s="89"/>
      <c r="Q24" s="89"/>
      <c r="R24" s="89"/>
      <c r="S24" s="89"/>
      <c r="T24" s="89"/>
      <c r="U24" s="89"/>
      <c r="V24" s="89"/>
      <c r="W24" s="89"/>
      <c r="X24" s="89"/>
      <c r="Y24" s="89"/>
    </row>
    <row r="25" spans="3:27" x14ac:dyDescent="0.35">
      <c r="C25" s="88"/>
      <c r="E25" s="29"/>
      <c r="F25" s="23" t="s">
        <v>189</v>
      </c>
      <c r="G25" s="23" t="s">
        <v>271</v>
      </c>
      <c r="H25" s="23"/>
      <c r="I25" s="23"/>
      <c r="J25" s="83"/>
      <c r="K25" s="83"/>
      <c r="L25" s="83"/>
      <c r="M25" s="83"/>
      <c r="N25" s="83"/>
      <c r="O25" s="83"/>
      <c r="P25" s="83"/>
      <c r="Q25" s="83"/>
      <c r="R25" s="83"/>
      <c r="S25" s="83"/>
      <c r="T25" s="83"/>
      <c r="U25" s="83"/>
      <c r="V25" s="83"/>
      <c r="W25" s="83"/>
      <c r="X25" s="83"/>
      <c r="Y25" s="83"/>
    </row>
    <row r="26" spans="3:27" x14ac:dyDescent="0.35">
      <c r="C26" s="88"/>
      <c r="E26" s="29"/>
      <c r="F26" t="s">
        <v>191</v>
      </c>
      <c r="G26" t="s">
        <v>271</v>
      </c>
      <c r="J26" s="79"/>
      <c r="K26" s="79"/>
      <c r="L26" s="79"/>
      <c r="M26" s="79"/>
      <c r="N26" s="79"/>
      <c r="O26" s="79"/>
      <c r="P26" s="79"/>
      <c r="Q26" s="79"/>
      <c r="R26" s="79"/>
      <c r="S26" s="79"/>
      <c r="T26" s="79"/>
      <c r="U26" s="79"/>
      <c r="V26" s="79"/>
      <c r="W26" s="79"/>
      <c r="X26" s="79"/>
      <c r="Y26" s="79"/>
    </row>
    <row r="27" spans="3:27" x14ac:dyDescent="0.35">
      <c r="C27" s="88"/>
      <c r="E27" s="29"/>
      <c r="F27" t="s">
        <v>192</v>
      </c>
      <c r="G27" t="s">
        <v>271</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35">
      <c r="C28" s="88"/>
      <c r="E28" s="29"/>
      <c r="F28" t="s">
        <v>193</v>
      </c>
      <c r="G28" t="s">
        <v>271</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35">
      <c r="C29" s="88"/>
      <c r="E29" s="29"/>
      <c r="F29" t="s">
        <v>194</v>
      </c>
      <c r="G29" t="s">
        <v>271</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35">
      <c r="C30" s="88"/>
      <c r="E30" s="29"/>
      <c r="F30" t="s">
        <v>195</v>
      </c>
      <c r="G30" t="s">
        <v>271</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35">
      <c r="C31" s="88"/>
      <c r="E31" s="29"/>
      <c r="F31" t="s">
        <v>196</v>
      </c>
      <c r="G31" t="s">
        <v>271</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35">
      <c r="C32" s="88"/>
      <c r="E32" s="29"/>
      <c r="F32" t="s">
        <v>197</v>
      </c>
      <c r="G32" t="s">
        <v>271</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35">
      <c r="C33" s="88"/>
      <c r="E33" s="29"/>
      <c r="F33" t="s">
        <v>198</v>
      </c>
      <c r="G33" t="s">
        <v>271</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35">
      <c r="C34" s="88"/>
      <c r="E34" s="29"/>
      <c r="F34" t="s">
        <v>199</v>
      </c>
      <c r="G34" t="s">
        <v>271</v>
      </c>
      <c r="J34" s="120">
        <f>'Capacity charges'!J271</f>
        <v>9.1632129837615817E-2</v>
      </c>
      <c r="K34" s="120">
        <f>'Capacity charges'!K271</f>
        <v>0</v>
      </c>
      <c r="L34" s="120">
        <f>'Capacity charges'!L271</f>
        <v>9.1632129837615817E-2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35">
      <c r="C35" s="88"/>
      <c r="E35" s="29"/>
      <c r="F35" t="s">
        <v>376</v>
      </c>
      <c r="G35" t="s">
        <v>271</v>
      </c>
      <c r="J35" s="79"/>
      <c r="K35" s="79"/>
      <c r="L35" s="79"/>
      <c r="M35" s="79"/>
      <c r="N35" s="79"/>
      <c r="O35" s="79"/>
      <c r="P35" s="79"/>
      <c r="Q35" s="79"/>
      <c r="R35" s="79"/>
      <c r="S35" s="79"/>
      <c r="T35" s="79"/>
      <c r="U35" s="79"/>
      <c r="V35" s="79"/>
      <c r="W35" s="79"/>
      <c r="X35" s="79"/>
      <c r="Y35" s="79"/>
    </row>
    <row r="36" spans="3:25" x14ac:dyDescent="0.35">
      <c r="C36" s="88"/>
      <c r="E36" s="29"/>
      <c r="F36" s="37" t="s">
        <v>377</v>
      </c>
      <c r="G36" s="37" t="s">
        <v>271</v>
      </c>
      <c r="H36" s="37"/>
      <c r="I36" s="37"/>
      <c r="J36" s="81"/>
      <c r="K36" s="81"/>
      <c r="L36" s="81"/>
      <c r="M36" s="81"/>
      <c r="N36" s="81"/>
      <c r="O36" s="81"/>
      <c r="P36" s="81"/>
      <c r="Q36" s="81"/>
      <c r="R36" s="81"/>
      <c r="S36" s="81"/>
      <c r="T36" s="81"/>
      <c r="U36" s="81"/>
      <c r="V36" s="81"/>
      <c r="W36" s="81"/>
      <c r="X36" s="81"/>
      <c r="Y36" s="81"/>
    </row>
    <row r="37" spans="3:25" x14ac:dyDescent="0.35">
      <c r="C37" s="88"/>
      <c r="D37"/>
      <c r="E37" s="29"/>
      <c r="J37" s="89"/>
      <c r="K37" s="89"/>
      <c r="L37" s="89"/>
      <c r="M37" s="89"/>
      <c r="N37" s="89"/>
      <c r="O37" s="89"/>
      <c r="P37" s="89"/>
      <c r="Q37" s="89"/>
      <c r="R37" s="89"/>
      <c r="S37" s="89"/>
      <c r="T37" s="89"/>
      <c r="U37" s="89"/>
      <c r="V37" s="89"/>
      <c r="W37" s="89"/>
      <c r="X37" s="89"/>
      <c r="Y37" s="89"/>
    </row>
    <row r="38" spans="3:25" x14ac:dyDescent="0.35">
      <c r="C38" s="88"/>
      <c r="E38" s="32" t="s">
        <v>622</v>
      </c>
      <c r="J38" s="89"/>
      <c r="K38" s="89"/>
      <c r="L38" s="89"/>
      <c r="M38" s="89"/>
      <c r="N38" s="89"/>
      <c r="O38" s="89"/>
      <c r="P38" s="89"/>
      <c r="Q38" s="89"/>
      <c r="R38" s="89"/>
      <c r="S38" s="89"/>
      <c r="T38" s="89"/>
      <c r="U38" s="89"/>
      <c r="V38" s="89"/>
      <c r="W38" s="89"/>
      <c r="X38" s="89"/>
      <c r="Y38" s="89"/>
    </row>
    <row r="39" spans="3:25" x14ac:dyDescent="0.35">
      <c r="C39" s="88"/>
      <c r="F39" s="23" t="s">
        <v>189</v>
      </c>
      <c r="G39" s="23" t="s">
        <v>271</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35">
      <c r="C40" s="88"/>
      <c r="F40" t="s">
        <v>191</v>
      </c>
      <c r="G40" t="s">
        <v>271</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35">
      <c r="C41" s="88"/>
      <c r="F41" t="s">
        <v>192</v>
      </c>
      <c r="G41" t="s">
        <v>271</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35">
      <c r="C42" s="88"/>
      <c r="F42" t="s">
        <v>193</v>
      </c>
      <c r="G42" t="s">
        <v>271</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35">
      <c r="C43" s="88"/>
      <c r="F43" t="s">
        <v>194</v>
      </c>
      <c r="G43" t="s">
        <v>271</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35">
      <c r="C44" s="88"/>
      <c r="F44" t="s">
        <v>195</v>
      </c>
      <c r="G44" t="s">
        <v>271</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35">
      <c r="C45" s="88"/>
      <c r="F45" t="s">
        <v>196</v>
      </c>
      <c r="G45" t="s">
        <v>271</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35">
      <c r="C46" s="88"/>
      <c r="F46" t="s">
        <v>197</v>
      </c>
      <c r="G46" t="s">
        <v>271</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35">
      <c r="C47" s="88"/>
      <c r="F47" t="s">
        <v>198</v>
      </c>
      <c r="G47" t="s">
        <v>271</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35">
      <c r="C48" s="88"/>
      <c r="F48" t="s">
        <v>199</v>
      </c>
      <c r="G48" t="s">
        <v>271</v>
      </c>
      <c r="J48" s="120">
        <f>'Capacity charges'!J285</f>
        <v>2.4595528548041394</v>
      </c>
      <c r="K48" s="120">
        <f>'Capacity charges'!K285</f>
        <v>0</v>
      </c>
      <c r="L48" s="120">
        <f>'Capacity charges'!L285</f>
        <v>2.4595528548041394</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35">
      <c r="C49" s="88"/>
      <c r="F49" t="s">
        <v>376</v>
      </c>
      <c r="G49" t="s">
        <v>271</v>
      </c>
      <c r="J49" s="79"/>
      <c r="K49" s="79"/>
      <c r="L49" s="79"/>
      <c r="M49" s="79"/>
      <c r="N49" s="79"/>
      <c r="O49" s="79"/>
      <c r="P49" s="79"/>
      <c r="Q49" s="79"/>
      <c r="R49" s="79"/>
      <c r="S49" s="79"/>
      <c r="T49" s="79"/>
      <c r="U49" s="79"/>
      <c r="V49" s="79"/>
      <c r="W49" s="79"/>
      <c r="X49" s="79"/>
      <c r="Y49" s="79"/>
    </row>
    <row r="50" spans="3:27" x14ac:dyDescent="0.35">
      <c r="C50" s="88"/>
      <c r="F50" s="37" t="s">
        <v>377</v>
      </c>
      <c r="G50" s="37" t="s">
        <v>271</v>
      </c>
      <c r="H50" s="37"/>
      <c r="I50" s="37"/>
      <c r="J50" s="81"/>
      <c r="K50" s="81"/>
      <c r="L50" s="81"/>
      <c r="M50" s="81"/>
      <c r="N50" s="81"/>
      <c r="O50" s="81"/>
      <c r="P50" s="81"/>
      <c r="Q50" s="81"/>
      <c r="R50" s="81"/>
      <c r="S50" s="81"/>
      <c r="T50" s="81"/>
      <c r="U50" s="81"/>
      <c r="V50" s="81"/>
      <c r="W50" s="81"/>
      <c r="X50" s="81"/>
      <c r="Y50" s="81"/>
    </row>
    <row r="51" spans="3:27" x14ac:dyDescent="0.35">
      <c r="C51" s="88"/>
      <c r="J51" s="89"/>
      <c r="K51" s="89"/>
      <c r="L51" s="89"/>
      <c r="M51" s="89"/>
      <c r="N51" s="89"/>
      <c r="O51" s="89"/>
      <c r="P51" s="89"/>
      <c r="Q51" s="89"/>
      <c r="R51" s="89"/>
      <c r="S51" s="89"/>
      <c r="T51" s="89"/>
      <c r="U51" s="89"/>
      <c r="V51" s="89"/>
      <c r="W51" s="89"/>
      <c r="X51" s="89"/>
      <c r="Y51" s="89"/>
    </row>
    <row r="52" spans="3:27" x14ac:dyDescent="0.3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35">
      <c r="D53"/>
    </row>
    <row r="54" spans="3:27" x14ac:dyDescent="0.35">
      <c r="C54" s="32"/>
      <c r="D54"/>
      <c r="E54" s="32" t="s">
        <v>622</v>
      </c>
      <c r="I54" t="s">
        <v>154</v>
      </c>
      <c r="J54" s="89"/>
      <c r="K54" s="89"/>
      <c r="L54" s="89"/>
      <c r="M54" s="89"/>
      <c r="N54" s="89"/>
      <c r="O54" s="89"/>
      <c r="P54" s="89"/>
      <c r="Q54" s="89"/>
      <c r="R54" s="89"/>
      <c r="S54" s="89"/>
      <c r="T54" s="89"/>
      <c r="U54" s="89"/>
      <c r="V54" s="89"/>
      <c r="W54" s="89"/>
      <c r="X54" s="89"/>
      <c r="Y54" s="89"/>
      <c r="AA54" t="s">
        <v>722</v>
      </c>
    </row>
    <row r="55" spans="3:27" x14ac:dyDescent="0.35">
      <c r="C55" s="88"/>
      <c r="D55"/>
      <c r="F55" s="23" t="s">
        <v>376</v>
      </c>
      <c r="G55" s="23" t="s">
        <v>270</v>
      </c>
      <c r="H55" s="23"/>
      <c r="I55" s="23"/>
      <c r="J55" s="124">
        <f>'Service model charges'!J42</f>
        <v>3.9885423344707469</v>
      </c>
      <c r="K55" s="124">
        <f>'Service model charges'!K42</f>
        <v>0</v>
      </c>
      <c r="L55" s="124">
        <f>'Service model charges'!L42</f>
        <v>7.0682227383194833</v>
      </c>
      <c r="M55" s="124">
        <f>'Service model charges'!M42</f>
        <v>0</v>
      </c>
      <c r="N55" s="124">
        <f>'Service model charges'!N42</f>
        <v>27.1234520849282</v>
      </c>
      <c r="O55" s="124">
        <f>'Service model charges'!O42</f>
        <v>63.777155343839667</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35">
      <c r="C56" s="88"/>
      <c r="D56"/>
      <c r="F56" s="37" t="s">
        <v>377</v>
      </c>
      <c r="G56" s="37" t="s">
        <v>270</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322.05936254955475</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526.69511172822524</v>
      </c>
      <c r="Y56" s="125">
        <f>'Service model charges'!Y43</f>
        <v>526.69511172822524</v>
      </c>
    </row>
    <row r="57" spans="3:27" x14ac:dyDescent="0.35">
      <c r="C57" s="88"/>
      <c r="D57"/>
      <c r="F57" s="2"/>
    </row>
    <row r="58" spans="3:27" x14ac:dyDescent="0.3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35">
      <c r="C59" s="32"/>
      <c r="D59"/>
      <c r="E59"/>
    </row>
    <row r="60" spans="3:27" x14ac:dyDescent="0.35">
      <c r="D60" s="29" t="s">
        <v>723</v>
      </c>
      <c r="E60"/>
    </row>
    <row r="61" spans="3:27" x14ac:dyDescent="0.35">
      <c r="D61" s="29" t="s">
        <v>724</v>
      </c>
      <c r="E61"/>
    </row>
    <row r="62" spans="3:27" x14ac:dyDescent="0.35">
      <c r="D62" s="29"/>
      <c r="E62"/>
    </row>
    <row r="63" spans="3:27" x14ac:dyDescent="0.35">
      <c r="E63" t="s">
        <v>725</v>
      </c>
      <c r="G63" t="s">
        <v>149</v>
      </c>
      <c r="I63" t="s">
        <v>154</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726</v>
      </c>
    </row>
    <row r="65" spans="2:27" x14ac:dyDescent="0.35">
      <c r="B65" s="30" t="s">
        <v>727</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35">
      <c r="J66" s="89"/>
      <c r="K66" s="89"/>
      <c r="L66" s="89"/>
      <c r="M66" s="89"/>
      <c r="N66" s="89"/>
      <c r="O66" s="89"/>
      <c r="P66" s="89"/>
      <c r="Q66" s="89"/>
      <c r="R66" s="89"/>
      <c r="S66" s="89"/>
      <c r="T66" s="89"/>
      <c r="U66" s="89"/>
      <c r="V66" s="89"/>
      <c r="W66" s="89"/>
      <c r="X66" s="89"/>
      <c r="Y66" s="89"/>
    </row>
    <row r="67" spans="2:27" x14ac:dyDescent="0.3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35">
      <c r="D68"/>
      <c r="E68" s="32"/>
      <c r="I68" t="s">
        <v>154</v>
      </c>
      <c r="J68" s="89"/>
      <c r="K68" s="89"/>
      <c r="L68" s="89"/>
      <c r="M68" s="89"/>
      <c r="N68" s="89"/>
      <c r="O68" s="89"/>
      <c r="P68" s="89"/>
      <c r="Q68" s="89"/>
      <c r="R68" s="89"/>
      <c r="S68" s="89"/>
      <c r="T68" s="89"/>
      <c r="U68" s="89"/>
      <c r="V68" s="89"/>
      <c r="W68" s="89"/>
      <c r="X68" s="89"/>
      <c r="Y68" s="89"/>
      <c r="AA68" t="s">
        <v>726</v>
      </c>
    </row>
    <row r="69" spans="2:27" x14ac:dyDescent="0.35">
      <c r="C69" s="88"/>
      <c r="D69"/>
      <c r="E69" s="32" t="s">
        <v>621</v>
      </c>
      <c r="J69" s="89"/>
      <c r="K69" s="89"/>
      <c r="L69" s="89"/>
      <c r="M69" s="89"/>
      <c r="N69" s="89"/>
      <c r="O69" s="89"/>
      <c r="P69" s="89"/>
      <c r="Q69" s="89"/>
      <c r="R69" s="89"/>
      <c r="S69" s="89"/>
      <c r="T69" s="89"/>
      <c r="U69" s="89"/>
      <c r="V69" s="89"/>
      <c r="W69" s="89"/>
      <c r="X69" s="89"/>
      <c r="Y69" s="89"/>
    </row>
    <row r="70" spans="2:27" x14ac:dyDescent="0.35">
      <c r="C70" s="88"/>
      <c r="D70"/>
      <c r="E70" s="29"/>
      <c r="F70" s="23" t="s">
        <v>189</v>
      </c>
      <c r="G70" s="23" t="s">
        <v>728</v>
      </c>
      <c r="H70" s="23"/>
      <c r="I70" s="23"/>
      <c r="J70" s="83"/>
      <c r="K70" s="83"/>
      <c r="L70" s="83"/>
      <c r="M70" s="83"/>
      <c r="N70" s="83"/>
      <c r="O70" s="83"/>
      <c r="P70" s="83"/>
      <c r="Q70" s="83"/>
      <c r="R70" s="83"/>
      <c r="S70" s="83"/>
      <c r="T70" s="83"/>
      <c r="U70" s="83"/>
      <c r="V70" s="83"/>
      <c r="W70" s="83"/>
      <c r="X70" s="83"/>
      <c r="Y70" s="83"/>
    </row>
    <row r="71" spans="2:27" x14ac:dyDescent="0.35">
      <c r="C71" s="88"/>
      <c r="D71"/>
      <c r="E71" s="29"/>
      <c r="F71" t="s">
        <v>191</v>
      </c>
      <c r="G71" t="s">
        <v>728</v>
      </c>
      <c r="J71" s="79"/>
      <c r="K71" s="79"/>
      <c r="L71" s="79"/>
      <c r="M71" s="79"/>
      <c r="N71" s="79"/>
      <c r="O71" s="79"/>
      <c r="P71" s="79"/>
      <c r="Q71" s="79"/>
      <c r="R71" s="79"/>
      <c r="S71" s="79"/>
      <c r="T71" s="79"/>
      <c r="U71" s="79"/>
      <c r="V71" s="79"/>
      <c r="W71" s="79"/>
      <c r="X71" s="79"/>
      <c r="Y71" s="79"/>
    </row>
    <row r="72" spans="2:27" x14ac:dyDescent="0.35">
      <c r="C72" s="88"/>
      <c r="D72"/>
      <c r="E72" s="29"/>
      <c r="F72" t="s">
        <v>192</v>
      </c>
      <c r="G72" t="s">
        <v>728</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35">
      <c r="C73" s="88"/>
      <c r="D73"/>
      <c r="E73" s="29"/>
      <c r="F73" t="s">
        <v>193</v>
      </c>
      <c r="G73" t="s">
        <v>728</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35">
      <c r="C74" s="88"/>
      <c r="D74"/>
      <c r="E74" s="29"/>
      <c r="F74" t="s">
        <v>194</v>
      </c>
      <c r="G74" t="s">
        <v>728</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35">
      <c r="C75" s="88"/>
      <c r="D75"/>
      <c r="E75" s="29"/>
      <c r="F75" t="s">
        <v>195</v>
      </c>
      <c r="G75" t="s">
        <v>728</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35">
      <c r="C76" s="88"/>
      <c r="D76"/>
      <c r="E76" s="29"/>
      <c r="F76" t="s">
        <v>196</v>
      </c>
      <c r="G76" t="s">
        <v>728</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35">
      <c r="C77" s="88"/>
      <c r="D77"/>
      <c r="E77" s="29"/>
      <c r="F77" t="s">
        <v>197</v>
      </c>
      <c r="G77" t="s">
        <v>728</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35">
      <c r="C78" s="88"/>
      <c r="D78"/>
      <c r="E78" s="29"/>
      <c r="F78" t="s">
        <v>198</v>
      </c>
      <c r="G78" t="s">
        <v>728</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35">
      <c r="C79" s="88"/>
      <c r="D79"/>
      <c r="E79" s="29"/>
      <c r="F79" t="s">
        <v>199</v>
      </c>
      <c r="G79" t="s">
        <v>728</v>
      </c>
      <c r="J79" s="98">
        <f t="shared" ref="J79:K79" si="49">J$20 * J34 * thousand / PowerFactor</f>
        <v>65690.15476995871</v>
      </c>
      <c r="K79" s="98">
        <f t="shared" si="49"/>
        <v>0</v>
      </c>
      <c r="L79" s="98">
        <f t="shared" ref="L79:M79" si="50">L$20 * L34 * thousand / PowerFactor</f>
        <v>26271.796214520073</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35">
      <c r="C80" s="88"/>
      <c r="D80"/>
      <c r="E80" s="29"/>
      <c r="F80" t="s">
        <v>376</v>
      </c>
      <c r="G80" t="s">
        <v>728</v>
      </c>
      <c r="J80" s="79"/>
      <c r="K80" s="79"/>
      <c r="L80" s="79"/>
      <c r="M80" s="79"/>
      <c r="N80" s="79"/>
      <c r="O80" s="79"/>
      <c r="P80" s="79"/>
      <c r="Q80" s="79"/>
      <c r="R80" s="79"/>
      <c r="S80" s="79"/>
      <c r="T80" s="79"/>
      <c r="U80" s="79"/>
      <c r="V80" s="79"/>
      <c r="W80" s="79"/>
      <c r="X80" s="79"/>
      <c r="Y80" s="79"/>
    </row>
    <row r="81" spans="3:25" x14ac:dyDescent="0.35">
      <c r="C81" s="88"/>
      <c r="D81"/>
      <c r="E81" s="29"/>
      <c r="F81" s="37" t="s">
        <v>377</v>
      </c>
      <c r="G81" s="37" t="s">
        <v>728</v>
      </c>
      <c r="H81" s="37"/>
      <c r="I81" s="37"/>
      <c r="J81" s="81"/>
      <c r="K81" s="81"/>
      <c r="L81" s="81"/>
      <c r="M81" s="81"/>
      <c r="N81" s="81"/>
      <c r="O81" s="81"/>
      <c r="P81" s="81"/>
      <c r="Q81" s="81"/>
      <c r="R81" s="81"/>
      <c r="S81" s="81"/>
      <c r="T81" s="81"/>
      <c r="U81" s="81"/>
      <c r="V81" s="81"/>
      <c r="W81" s="81"/>
      <c r="X81" s="81"/>
      <c r="Y81" s="81"/>
    </row>
    <row r="82" spans="3:25" x14ac:dyDescent="0.35">
      <c r="C82" s="88"/>
      <c r="D82"/>
      <c r="E82" s="29"/>
      <c r="J82" s="89"/>
      <c r="K82" s="89"/>
      <c r="L82" s="89"/>
      <c r="M82" s="89"/>
      <c r="N82" s="89"/>
      <c r="O82" s="89"/>
      <c r="P82" s="89"/>
      <c r="Q82" s="89"/>
      <c r="R82" s="89"/>
      <c r="S82" s="89"/>
      <c r="T82" s="89"/>
      <c r="U82" s="89"/>
      <c r="V82" s="89"/>
      <c r="W82" s="89"/>
      <c r="X82" s="89"/>
      <c r="Y82" s="89"/>
    </row>
    <row r="83" spans="3:25" x14ac:dyDescent="0.35">
      <c r="C83" s="88"/>
      <c r="D83"/>
      <c r="E83" s="32" t="s">
        <v>622</v>
      </c>
      <c r="J83" s="89"/>
      <c r="K83" s="89"/>
      <c r="L83" s="89"/>
      <c r="M83" s="89"/>
      <c r="N83" s="89"/>
      <c r="O83" s="89"/>
      <c r="P83" s="89"/>
      <c r="Q83" s="89"/>
      <c r="R83" s="89"/>
      <c r="S83" s="89"/>
      <c r="T83" s="89"/>
      <c r="U83" s="89"/>
      <c r="V83" s="89"/>
      <c r="W83" s="89"/>
      <c r="X83" s="89"/>
      <c r="Y83" s="89"/>
    </row>
    <row r="84" spans="3:25" x14ac:dyDescent="0.35">
      <c r="C84" s="88"/>
      <c r="D84"/>
      <c r="F84" s="23" t="s">
        <v>189</v>
      </c>
      <c r="G84" s="23" t="s">
        <v>728</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35">
      <c r="C85" s="88"/>
      <c r="D85"/>
      <c r="F85" t="s">
        <v>191</v>
      </c>
      <c r="G85" t="s">
        <v>728</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35">
      <c r="C86" s="88"/>
      <c r="D86"/>
      <c r="F86" t="s">
        <v>192</v>
      </c>
      <c r="G86" t="s">
        <v>728</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35">
      <c r="C87" s="88"/>
      <c r="D87"/>
      <c r="F87" t="s">
        <v>193</v>
      </c>
      <c r="G87" t="s">
        <v>728</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35">
      <c r="C88" s="88"/>
      <c r="D88"/>
      <c r="F88" t="s">
        <v>194</v>
      </c>
      <c r="G88" t="s">
        <v>728</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35">
      <c r="C89" s="88"/>
      <c r="D89"/>
      <c r="F89" t="s">
        <v>195</v>
      </c>
      <c r="G89" t="s">
        <v>728</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35">
      <c r="C90" s="88"/>
      <c r="D90"/>
      <c r="F90" t="s">
        <v>196</v>
      </c>
      <c r="G90" t="s">
        <v>728</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35">
      <c r="C91" s="88"/>
      <c r="D91"/>
      <c r="F91" t="s">
        <v>197</v>
      </c>
      <c r="G91" t="s">
        <v>728</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35">
      <c r="C92" s="88"/>
      <c r="D92"/>
      <c r="F92" t="s">
        <v>198</v>
      </c>
      <c r="G92" t="s">
        <v>728</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35">
      <c r="C93" s="88"/>
      <c r="D93"/>
      <c r="F93" t="s">
        <v>199</v>
      </c>
      <c r="G93" t="s">
        <v>728</v>
      </c>
      <c r="J93" s="98">
        <f t="shared" ref="J93:K93" si="119">J$20 * J48 * thousand / PowerFactor</f>
        <v>1763228.7712104714</v>
      </c>
      <c r="K93" s="98">
        <f t="shared" si="119"/>
        <v>0</v>
      </c>
      <c r="L93" s="98">
        <f t="shared" ref="L93:M93" si="120">L$20 * L48 * thousand / PowerFactor</f>
        <v>705177.01045217458</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35">
      <c r="C94" s="88"/>
      <c r="D94"/>
      <c r="F94" t="s">
        <v>376</v>
      </c>
      <c r="G94" t="s">
        <v>728</v>
      </c>
      <c r="J94" s="79"/>
      <c r="K94" s="79"/>
      <c r="L94" s="79"/>
      <c r="M94" s="79"/>
      <c r="N94" s="79"/>
      <c r="O94" s="79"/>
      <c r="P94" s="79"/>
      <c r="Q94" s="79"/>
      <c r="R94" s="79"/>
      <c r="S94" s="79"/>
      <c r="T94" s="79"/>
      <c r="U94" s="79"/>
      <c r="V94" s="79"/>
      <c r="W94" s="79"/>
      <c r="X94" s="79"/>
      <c r="Y94" s="79"/>
    </row>
    <row r="95" spans="3:25" x14ac:dyDescent="0.35">
      <c r="C95" s="88"/>
      <c r="D95"/>
      <c r="F95" s="37" t="s">
        <v>377</v>
      </c>
      <c r="G95" s="37" t="s">
        <v>728</v>
      </c>
      <c r="H95" s="37"/>
      <c r="I95" s="37"/>
      <c r="J95" s="81"/>
      <c r="K95" s="81"/>
      <c r="L95" s="81"/>
      <c r="M95" s="81"/>
      <c r="N95" s="81"/>
      <c r="O95" s="81"/>
      <c r="P95" s="81"/>
      <c r="Q95" s="81"/>
      <c r="R95" s="81"/>
      <c r="S95" s="81"/>
      <c r="T95" s="81"/>
      <c r="U95" s="81"/>
      <c r="V95" s="81"/>
      <c r="W95" s="81"/>
      <c r="X95" s="81"/>
      <c r="Y95" s="81"/>
    </row>
    <row r="96" spans="3:25" x14ac:dyDescent="0.35">
      <c r="C96" s="88"/>
      <c r="J96" s="89"/>
      <c r="K96" s="89"/>
      <c r="L96" s="89"/>
      <c r="M96" s="89"/>
      <c r="N96" s="89"/>
      <c r="O96" s="89"/>
      <c r="P96" s="89"/>
      <c r="Q96" s="89"/>
      <c r="R96" s="89"/>
      <c r="S96" s="89"/>
      <c r="T96" s="89"/>
      <c r="U96" s="89"/>
      <c r="V96" s="89"/>
      <c r="W96" s="89"/>
      <c r="X96" s="89"/>
      <c r="Y96" s="89"/>
    </row>
    <row r="97" spans="3:27" x14ac:dyDescent="0.3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35">
      <c r="D98"/>
      <c r="E98" s="32"/>
      <c r="I98" t="s">
        <v>154</v>
      </c>
      <c r="J98" s="89"/>
      <c r="K98" s="89"/>
      <c r="L98" s="89"/>
      <c r="M98" s="89"/>
      <c r="N98" s="89"/>
      <c r="O98" s="89"/>
      <c r="P98" s="89"/>
      <c r="Q98" s="89"/>
      <c r="R98" s="89"/>
      <c r="S98" s="89"/>
      <c r="T98" s="89"/>
      <c r="U98" s="89"/>
      <c r="V98" s="89"/>
      <c r="W98" s="89"/>
      <c r="X98" s="89"/>
      <c r="Y98" s="89"/>
      <c r="AA98" t="s">
        <v>726</v>
      </c>
    </row>
    <row r="99" spans="3:27" x14ac:dyDescent="0.35">
      <c r="C99" s="88"/>
      <c r="D99"/>
      <c r="E99" s="32" t="s">
        <v>621</v>
      </c>
      <c r="J99" s="89"/>
      <c r="K99" s="89"/>
      <c r="L99" s="89"/>
      <c r="M99" s="89"/>
      <c r="N99" s="89"/>
      <c r="O99" s="89"/>
      <c r="P99" s="89"/>
      <c r="Q99" s="89"/>
      <c r="R99" s="89"/>
      <c r="S99" s="89"/>
      <c r="T99" s="89"/>
      <c r="U99" s="89"/>
      <c r="V99" s="89"/>
      <c r="W99" s="89"/>
      <c r="X99" s="89"/>
      <c r="Y99" s="89"/>
    </row>
    <row r="100" spans="3:27" x14ac:dyDescent="0.35">
      <c r="C100" s="88"/>
      <c r="D100"/>
      <c r="E100" s="29"/>
      <c r="F100" s="23" t="s">
        <v>189</v>
      </c>
      <c r="G100" s="23" t="s">
        <v>728</v>
      </c>
      <c r="H100" s="23"/>
      <c r="I100" s="23"/>
      <c r="J100" s="83"/>
      <c r="K100" s="83"/>
      <c r="L100" s="83"/>
      <c r="M100" s="83"/>
      <c r="N100" s="83"/>
      <c r="O100" s="83"/>
      <c r="P100" s="83"/>
      <c r="Q100" s="83"/>
      <c r="R100" s="83"/>
      <c r="S100" s="83"/>
      <c r="T100" s="83"/>
      <c r="U100" s="83"/>
      <c r="V100" s="83"/>
      <c r="W100" s="83"/>
      <c r="X100" s="83"/>
      <c r="Y100" s="83"/>
    </row>
    <row r="101" spans="3:27" x14ac:dyDescent="0.35">
      <c r="C101" s="88"/>
      <c r="D101"/>
      <c r="E101" s="29"/>
      <c r="F101" t="s">
        <v>191</v>
      </c>
      <c r="G101" t="s">
        <v>728</v>
      </c>
      <c r="J101" s="79"/>
      <c r="K101" s="79"/>
      <c r="L101" s="79"/>
      <c r="M101" s="79"/>
      <c r="N101" s="79"/>
      <c r="O101" s="79"/>
      <c r="P101" s="79"/>
      <c r="Q101" s="79"/>
      <c r="R101" s="79"/>
      <c r="S101" s="79"/>
      <c r="T101" s="79"/>
      <c r="U101" s="79"/>
      <c r="V101" s="79"/>
      <c r="W101" s="79"/>
      <c r="X101" s="79"/>
      <c r="Y101" s="79"/>
    </row>
    <row r="102" spans="3:27" x14ac:dyDescent="0.35">
      <c r="C102" s="88"/>
      <c r="D102"/>
      <c r="E102" s="29"/>
      <c r="F102" t="s">
        <v>192</v>
      </c>
      <c r="G102" t="s">
        <v>728</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35">
      <c r="C103" s="88"/>
      <c r="D103"/>
      <c r="E103" s="29"/>
      <c r="F103" t="s">
        <v>193</v>
      </c>
      <c r="G103" t="s">
        <v>728</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35">
      <c r="C104" s="88"/>
      <c r="D104"/>
      <c r="E104" s="29"/>
      <c r="F104" t="s">
        <v>194</v>
      </c>
      <c r="G104" t="s">
        <v>728</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35">
      <c r="C105" s="88"/>
      <c r="D105"/>
      <c r="E105" s="29"/>
      <c r="F105" t="s">
        <v>195</v>
      </c>
      <c r="G105" t="s">
        <v>728</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35">
      <c r="C106" s="88"/>
      <c r="D106"/>
      <c r="E106" s="29"/>
      <c r="F106" t="s">
        <v>196</v>
      </c>
      <c r="G106" t="s">
        <v>728</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35">
      <c r="C107" s="88"/>
      <c r="D107"/>
      <c r="E107" s="29"/>
      <c r="F107" t="s">
        <v>197</v>
      </c>
      <c r="G107" t="s">
        <v>728</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35">
      <c r="C108" s="88"/>
      <c r="D108"/>
      <c r="E108" s="29"/>
      <c r="F108" t="s">
        <v>198</v>
      </c>
      <c r="G108" t="s">
        <v>728</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35">
      <c r="C109" s="88"/>
      <c r="D109"/>
      <c r="E109" s="29"/>
      <c r="F109" t="s">
        <v>199</v>
      </c>
      <c r="G109" t="s">
        <v>728</v>
      </c>
      <c r="J109" s="98">
        <f t="shared" ref="J109:Y109" si="133">SUMIFS($J79:$Y79,$J$63:$Y$63,J$63)</f>
        <v>91961.950984478783</v>
      </c>
      <c r="K109" s="98">
        <f t="shared" si="133"/>
        <v>0</v>
      </c>
      <c r="L109" s="98">
        <f t="shared" si="133"/>
        <v>91961.950984478783</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35">
      <c r="C110" s="88"/>
      <c r="D110"/>
      <c r="E110" s="29"/>
      <c r="F110" t="s">
        <v>376</v>
      </c>
      <c r="G110" t="s">
        <v>728</v>
      </c>
      <c r="J110" s="79"/>
      <c r="K110" s="79"/>
      <c r="L110" s="79"/>
      <c r="M110" s="79"/>
      <c r="N110" s="79"/>
      <c r="O110" s="79"/>
      <c r="P110" s="79"/>
      <c r="Q110" s="79"/>
      <c r="R110" s="79"/>
      <c r="S110" s="79"/>
      <c r="T110" s="79"/>
      <c r="U110" s="79"/>
      <c r="V110" s="79"/>
      <c r="W110" s="79"/>
      <c r="X110" s="79"/>
      <c r="Y110" s="79"/>
    </row>
    <row r="111" spans="3:27" x14ac:dyDescent="0.35">
      <c r="C111" s="88"/>
      <c r="D111"/>
      <c r="E111" s="29"/>
      <c r="F111" s="37" t="s">
        <v>377</v>
      </c>
      <c r="G111" s="37" t="s">
        <v>728</v>
      </c>
      <c r="H111" s="37"/>
      <c r="I111" s="37"/>
      <c r="J111" s="81"/>
      <c r="K111" s="81"/>
      <c r="L111" s="81"/>
      <c r="M111" s="81"/>
      <c r="N111" s="81"/>
      <c r="O111" s="81"/>
      <c r="P111" s="81"/>
      <c r="Q111" s="81"/>
      <c r="R111" s="81"/>
      <c r="S111" s="81"/>
      <c r="T111" s="81"/>
      <c r="U111" s="81"/>
      <c r="V111" s="81"/>
      <c r="W111" s="81"/>
      <c r="X111" s="81"/>
      <c r="Y111" s="81"/>
    </row>
    <row r="112" spans="3:27" x14ac:dyDescent="0.35">
      <c r="C112" s="88"/>
      <c r="D112"/>
      <c r="E112" s="29"/>
      <c r="J112" s="89"/>
      <c r="K112" s="89"/>
      <c r="L112" s="89"/>
      <c r="M112" s="89"/>
      <c r="N112" s="89"/>
      <c r="O112" s="89"/>
      <c r="P112" s="89"/>
      <c r="Q112" s="89"/>
      <c r="R112" s="89"/>
      <c r="S112" s="89"/>
      <c r="T112" s="89"/>
      <c r="U112" s="89"/>
      <c r="V112" s="89"/>
      <c r="W112" s="89"/>
      <c r="X112" s="89"/>
      <c r="Y112" s="89"/>
    </row>
    <row r="113" spans="3:27" x14ac:dyDescent="0.35">
      <c r="C113" s="88"/>
      <c r="D113"/>
      <c r="E113" s="32" t="s">
        <v>622</v>
      </c>
      <c r="J113" s="89"/>
      <c r="K113" s="89"/>
      <c r="L113" s="89"/>
      <c r="M113" s="89"/>
      <c r="N113" s="89"/>
      <c r="O113" s="89"/>
      <c r="P113" s="89"/>
      <c r="Q113" s="89"/>
      <c r="R113" s="89"/>
      <c r="S113" s="89"/>
      <c r="T113" s="89"/>
      <c r="U113" s="89"/>
      <c r="V113" s="89"/>
      <c r="W113" s="89"/>
      <c r="X113" s="89"/>
      <c r="Y113" s="89"/>
    </row>
    <row r="114" spans="3:27" x14ac:dyDescent="0.35">
      <c r="C114" s="88"/>
      <c r="D114"/>
      <c r="F114" s="23" t="s">
        <v>189</v>
      </c>
      <c r="G114" s="23" t="s">
        <v>728</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35">
      <c r="C115" s="88"/>
      <c r="D115"/>
      <c r="F115" t="s">
        <v>191</v>
      </c>
      <c r="G115" t="s">
        <v>728</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35">
      <c r="C116" s="88"/>
      <c r="D116"/>
      <c r="F116" t="s">
        <v>192</v>
      </c>
      <c r="G116" t="s">
        <v>728</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35">
      <c r="C117" s="88"/>
      <c r="D117"/>
      <c r="F117" t="s">
        <v>193</v>
      </c>
      <c r="G117" t="s">
        <v>728</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35">
      <c r="C118" s="88"/>
      <c r="D118"/>
      <c r="F118" t="s">
        <v>194</v>
      </c>
      <c r="G118" t="s">
        <v>728</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35">
      <c r="C119" s="88"/>
      <c r="D119"/>
      <c r="F119" t="s">
        <v>195</v>
      </c>
      <c r="G119" t="s">
        <v>728</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35">
      <c r="C120" s="88"/>
      <c r="D120"/>
      <c r="F120" t="s">
        <v>196</v>
      </c>
      <c r="G120" t="s">
        <v>728</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35">
      <c r="C121" s="88"/>
      <c r="D121"/>
      <c r="F121" t="s">
        <v>197</v>
      </c>
      <c r="G121" t="s">
        <v>728</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35">
      <c r="C122" s="88"/>
      <c r="D122"/>
      <c r="F122" t="s">
        <v>198</v>
      </c>
      <c r="G122" t="s">
        <v>728</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35">
      <c r="C123" s="88"/>
      <c r="D123"/>
      <c r="F123" t="s">
        <v>199</v>
      </c>
      <c r="G123" t="s">
        <v>728</v>
      </c>
      <c r="J123" s="98">
        <f t="shared" ref="J123:Y123" si="143">SUMIFS($J93:$Y93,$J$63:$Y$63,J$63)</f>
        <v>2468405.7816626457</v>
      </c>
      <c r="K123" s="98">
        <f t="shared" si="143"/>
        <v>0</v>
      </c>
      <c r="L123" s="98">
        <f t="shared" si="143"/>
        <v>2468405.7816626457</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35">
      <c r="C124" s="88"/>
      <c r="D124"/>
      <c r="F124" t="s">
        <v>376</v>
      </c>
      <c r="G124" t="s">
        <v>728</v>
      </c>
      <c r="J124" s="79"/>
      <c r="K124" s="79"/>
      <c r="L124" s="79"/>
      <c r="M124" s="79"/>
      <c r="N124" s="79"/>
      <c r="O124" s="79"/>
      <c r="P124" s="79"/>
      <c r="Q124" s="79"/>
      <c r="R124" s="79"/>
      <c r="S124" s="79"/>
      <c r="T124" s="79"/>
      <c r="U124" s="79"/>
      <c r="V124" s="79"/>
      <c r="W124" s="79"/>
      <c r="X124" s="79"/>
      <c r="Y124" s="79"/>
    </row>
    <row r="125" spans="3:27" x14ac:dyDescent="0.35">
      <c r="C125" s="88"/>
      <c r="D125"/>
      <c r="F125" s="37" t="s">
        <v>377</v>
      </c>
      <c r="G125" s="37" t="s">
        <v>728</v>
      </c>
      <c r="H125" s="37"/>
      <c r="I125" s="37"/>
      <c r="J125" s="81"/>
      <c r="K125" s="81"/>
      <c r="L125" s="81"/>
      <c r="M125" s="81"/>
      <c r="N125" s="81"/>
      <c r="O125" s="81"/>
      <c r="P125" s="81"/>
      <c r="Q125" s="81"/>
      <c r="R125" s="81"/>
      <c r="S125" s="81"/>
      <c r="T125" s="81"/>
      <c r="U125" s="81"/>
      <c r="V125" s="81"/>
      <c r="W125" s="81"/>
      <c r="X125" s="81"/>
      <c r="Y125" s="81"/>
    </row>
    <row r="126" spans="3:27" x14ac:dyDescent="0.35">
      <c r="C126" s="88"/>
      <c r="J126" s="89"/>
      <c r="K126" s="89"/>
      <c r="L126" s="89"/>
      <c r="M126" s="89"/>
      <c r="N126" s="89"/>
      <c r="O126" s="89"/>
      <c r="P126" s="89"/>
      <c r="Q126" s="89"/>
      <c r="R126" s="89"/>
      <c r="S126" s="89"/>
      <c r="T126" s="89"/>
      <c r="U126" s="89"/>
      <c r="V126" s="89"/>
      <c r="W126" s="89"/>
      <c r="X126" s="89"/>
      <c r="Y126" s="89"/>
    </row>
    <row r="127" spans="3:27" x14ac:dyDescent="0.3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35">
      <c r="D128"/>
      <c r="E128" s="32"/>
    </row>
    <row r="129" spans="3:27" x14ac:dyDescent="0.35">
      <c r="D129"/>
      <c r="E129" t="s">
        <v>729</v>
      </c>
      <c r="G129" t="s">
        <v>212</v>
      </c>
      <c r="J129" s="89">
        <f t="shared" ref="J129:Y129" si="144">SUMIFS($J$18:$Y$18,$J$63:$Y$63,J63)</f>
        <v>787104.7975645964</v>
      </c>
      <c r="K129" s="89">
        <f t="shared" si="144"/>
        <v>85840.167600425455</v>
      </c>
      <c r="L129" s="89">
        <f t="shared" si="144"/>
        <v>787104.7975645964</v>
      </c>
      <c r="M129" s="89">
        <f t="shared" si="144"/>
        <v>85840.167600425455</v>
      </c>
      <c r="N129" s="89">
        <f t="shared" si="144"/>
        <v>85840.167600425455</v>
      </c>
      <c r="O129" s="89">
        <f t="shared" si="144"/>
        <v>85840.167600425455</v>
      </c>
      <c r="P129" s="89">
        <f t="shared" si="144"/>
        <v>85840.167600425455</v>
      </c>
      <c r="Q129" s="89">
        <f t="shared" si="144"/>
        <v>85840.167600425455</v>
      </c>
      <c r="R129" s="89">
        <f t="shared" si="144"/>
        <v>85840.167600425455</v>
      </c>
      <c r="S129" s="89">
        <f t="shared" si="144"/>
        <v>85840.167600425455</v>
      </c>
      <c r="T129" s="89">
        <f t="shared" si="144"/>
        <v>85840.167600425455</v>
      </c>
      <c r="U129" s="89">
        <f t="shared" si="144"/>
        <v>85840.167600425455</v>
      </c>
      <c r="V129" s="89">
        <f t="shared" si="144"/>
        <v>85840.167600425455</v>
      </c>
      <c r="W129" s="89">
        <f t="shared" si="144"/>
        <v>85840.167600425455</v>
      </c>
      <c r="X129" s="89">
        <f t="shared" si="144"/>
        <v>85840.167600425455</v>
      </c>
      <c r="Y129" s="89">
        <f t="shared" si="144"/>
        <v>85840.167600425455</v>
      </c>
    </row>
    <row r="130" spans="3:27" x14ac:dyDescent="0.35">
      <c r="D130"/>
      <c r="E130"/>
    </row>
    <row r="131" spans="3:27" x14ac:dyDescent="0.35">
      <c r="C131" s="88"/>
      <c r="E131" s="32" t="s">
        <v>621</v>
      </c>
      <c r="I131" t="s">
        <v>154</v>
      </c>
      <c r="J131" s="89"/>
      <c r="K131" s="89"/>
      <c r="L131" s="89"/>
      <c r="M131" s="89"/>
      <c r="N131" s="89"/>
      <c r="O131" s="89"/>
      <c r="P131" s="89"/>
      <c r="Q131" s="89"/>
      <c r="R131" s="89"/>
      <c r="S131" s="89"/>
      <c r="T131" s="89"/>
      <c r="U131" s="89"/>
      <c r="V131" s="89"/>
      <c r="W131" s="89"/>
      <c r="X131" s="89"/>
      <c r="Y131" s="89"/>
      <c r="AA131" t="s">
        <v>726</v>
      </c>
    </row>
    <row r="132" spans="3:27" x14ac:dyDescent="0.35">
      <c r="C132" s="88"/>
      <c r="E132" s="29"/>
      <c r="F132" s="23" t="s">
        <v>189</v>
      </c>
      <c r="G132" s="23" t="s">
        <v>270</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35">
      <c r="C133" s="88"/>
      <c r="E133" s="29"/>
      <c r="F133" t="s">
        <v>191</v>
      </c>
      <c r="G133" t="s">
        <v>270</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35">
      <c r="C134" s="88"/>
      <c r="E134" s="29"/>
      <c r="F134" t="s">
        <v>192</v>
      </c>
      <c r="G134" t="s">
        <v>270</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35">
      <c r="C135" s="88"/>
      <c r="E135" s="29"/>
      <c r="F135" t="s">
        <v>193</v>
      </c>
      <c r="G135" t="s">
        <v>270</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35">
      <c r="C136" s="88"/>
      <c r="E136" s="29"/>
      <c r="F136" t="s">
        <v>194</v>
      </c>
      <c r="G136" t="s">
        <v>270</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35">
      <c r="C137" s="88"/>
      <c r="E137" s="29"/>
      <c r="F137" t="s">
        <v>195</v>
      </c>
      <c r="G137" t="s">
        <v>270</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35">
      <c r="C138" s="88"/>
      <c r="E138" s="29"/>
      <c r="F138" t="s">
        <v>196</v>
      </c>
      <c r="G138" t="s">
        <v>270</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35">
      <c r="C139" s="88"/>
      <c r="E139" s="29"/>
      <c r="F139" t="s">
        <v>197</v>
      </c>
      <c r="G139" t="s">
        <v>270</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35">
      <c r="C140" s="88"/>
      <c r="E140" s="29"/>
      <c r="F140" t="s">
        <v>198</v>
      </c>
      <c r="G140" t="s">
        <v>270</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35">
      <c r="C141" s="88"/>
      <c r="E141" s="29"/>
      <c r="F141" t="s">
        <v>199</v>
      </c>
      <c r="G141" t="s">
        <v>270</v>
      </c>
      <c r="J141" s="98">
        <f t="shared" ref="J141:K141" si="208">IF(J$129 = 0, 0, J109 / J$129)</f>
        <v>0.11683571395959078</v>
      </c>
      <c r="K141" s="98">
        <f t="shared" si="208"/>
        <v>0</v>
      </c>
      <c r="L141" s="98">
        <f t="shared" ref="L141:M141" si="209">IF(L$129 = 0, 0, L109 / L$129)</f>
        <v>0.11683571395959078</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35">
      <c r="C142" s="88"/>
      <c r="E142" s="29"/>
      <c r="F142" s="23" t="s">
        <v>376</v>
      </c>
      <c r="G142" s="23" t="s">
        <v>270</v>
      </c>
      <c r="H142" s="23"/>
      <c r="I142" s="23"/>
      <c r="J142" s="83"/>
      <c r="K142" s="83"/>
      <c r="L142" s="83"/>
      <c r="M142" s="83"/>
      <c r="N142" s="83"/>
      <c r="O142" s="83"/>
      <c r="P142" s="83"/>
      <c r="Q142" s="83"/>
      <c r="R142" s="83"/>
      <c r="S142" s="83"/>
      <c r="T142" s="83"/>
      <c r="U142" s="83"/>
      <c r="V142" s="83"/>
      <c r="W142" s="83"/>
      <c r="X142" s="83"/>
      <c r="Y142" s="83"/>
    </row>
    <row r="143" spans="3:27" x14ac:dyDescent="0.35">
      <c r="C143" s="88"/>
      <c r="E143" s="29"/>
      <c r="F143" s="37" t="s">
        <v>377</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35">
      <c r="C144" s="88"/>
      <c r="D144"/>
      <c r="E144" s="29"/>
      <c r="J144" s="89"/>
      <c r="K144" s="89"/>
      <c r="L144" s="89"/>
      <c r="M144" s="89"/>
      <c r="N144" s="89"/>
      <c r="O144" s="89"/>
      <c r="P144" s="89"/>
      <c r="Q144" s="89"/>
      <c r="R144" s="89"/>
      <c r="S144" s="89"/>
      <c r="T144" s="89"/>
      <c r="U144" s="89"/>
      <c r="V144" s="89"/>
      <c r="W144" s="89"/>
      <c r="X144" s="89"/>
      <c r="Y144" s="89"/>
    </row>
    <row r="145" spans="3:27" x14ac:dyDescent="0.35">
      <c r="C145" s="88"/>
      <c r="E145" s="32" t="s">
        <v>622</v>
      </c>
      <c r="J145" s="89"/>
      <c r="K145" s="89"/>
      <c r="L145" s="89"/>
      <c r="M145" s="89"/>
      <c r="N145" s="89"/>
      <c r="O145" s="89"/>
      <c r="P145" s="89"/>
      <c r="Q145" s="89"/>
      <c r="R145" s="89"/>
      <c r="S145" s="89"/>
      <c r="T145" s="89"/>
      <c r="U145" s="89"/>
      <c r="V145" s="89"/>
      <c r="W145" s="89"/>
      <c r="X145" s="89"/>
      <c r="Y145" s="89"/>
    </row>
    <row r="146" spans="3:27" x14ac:dyDescent="0.35">
      <c r="C146" s="88"/>
      <c r="F146" s="23" t="s">
        <v>189</v>
      </c>
      <c r="G146" s="23" t="s">
        <v>270</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35">
      <c r="C147" s="88"/>
      <c r="F147" t="s">
        <v>191</v>
      </c>
      <c r="G147" t="s">
        <v>270</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35">
      <c r="C148" s="88"/>
      <c r="F148" t="s">
        <v>192</v>
      </c>
      <c r="G148" t="s">
        <v>270</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35">
      <c r="C149" s="88"/>
      <c r="F149" t="s">
        <v>193</v>
      </c>
      <c r="G149" t="s">
        <v>270</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35">
      <c r="C150" s="88"/>
      <c r="F150" t="s">
        <v>194</v>
      </c>
      <c r="G150" t="s">
        <v>270</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35">
      <c r="C151" s="88"/>
      <c r="F151" t="s">
        <v>195</v>
      </c>
      <c r="G151" t="s">
        <v>270</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35">
      <c r="C152" s="88"/>
      <c r="F152" t="s">
        <v>196</v>
      </c>
      <c r="G152" t="s">
        <v>270</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35">
      <c r="C153" s="88"/>
      <c r="F153" t="s">
        <v>197</v>
      </c>
      <c r="G153" t="s">
        <v>270</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35">
      <c r="C154" s="88"/>
      <c r="F154" t="s">
        <v>198</v>
      </c>
      <c r="G154" t="s">
        <v>270</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35">
      <c r="C155" s="88"/>
      <c r="F155" t="s">
        <v>199</v>
      </c>
      <c r="G155" t="s">
        <v>270</v>
      </c>
      <c r="J155" s="98">
        <f t="shared" ref="J155:K155" si="278">IF(J$129 = 0, 0, J123 / J$129)</f>
        <v>3.1360573449688163</v>
      </c>
      <c r="K155" s="98">
        <f t="shared" si="278"/>
        <v>0</v>
      </c>
      <c r="L155" s="98">
        <f t="shared" ref="L155:M155" si="279">IF(L$129 = 0, 0, L123 / L$129)</f>
        <v>3.1360573449688163</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35">
      <c r="C156" s="88"/>
      <c r="D156"/>
      <c r="F156" s="23" t="s">
        <v>376</v>
      </c>
      <c r="G156" s="23" t="s">
        <v>270</v>
      </c>
      <c r="H156" s="23"/>
      <c r="I156" s="23"/>
      <c r="J156" s="126">
        <f t="shared" ref="J156:K156" si="285">J55</f>
        <v>3.9885423344707469</v>
      </c>
      <c r="K156" s="126">
        <f t="shared" si="285"/>
        <v>0</v>
      </c>
      <c r="L156" s="126">
        <f t="shared" ref="L156:M156" si="286">L55</f>
        <v>7.0682227383194833</v>
      </c>
      <c r="M156" s="126">
        <f t="shared" si="286"/>
        <v>0</v>
      </c>
      <c r="N156" s="126">
        <f t="shared" ref="N156:P156" si="287">N55</f>
        <v>27.1234520849282</v>
      </c>
      <c r="O156" s="126">
        <f t="shared" si="287"/>
        <v>63.777155343839667</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35">
      <c r="C157" s="88"/>
      <c r="D157"/>
      <c r="F157" s="37" t="s">
        <v>377</v>
      </c>
      <c r="G157" s="37" t="s">
        <v>270</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322.05936254955475</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526.69511172822524</v>
      </c>
      <c r="Y157" s="100">
        <f t="shared" si="298"/>
        <v>526.69511172822524</v>
      </c>
    </row>
    <row r="158" spans="3:27" x14ac:dyDescent="0.35">
      <c r="C158" s="88"/>
      <c r="J158" s="89"/>
      <c r="K158" s="89"/>
      <c r="L158" s="89"/>
      <c r="M158" s="89"/>
      <c r="N158" s="89"/>
      <c r="O158" s="89"/>
      <c r="P158" s="89"/>
      <c r="Q158" s="89"/>
      <c r="R158" s="89"/>
      <c r="S158" s="89"/>
      <c r="T158" s="89"/>
      <c r="U158" s="89"/>
      <c r="V158" s="89"/>
      <c r="W158" s="89"/>
      <c r="X158" s="89"/>
      <c r="Y158" s="89"/>
    </row>
    <row r="159" spans="3:27" x14ac:dyDescent="0.3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35">
      <c r="C160" s="88"/>
      <c r="J160" s="89"/>
      <c r="K160" s="89"/>
      <c r="L160" s="89"/>
      <c r="M160" s="89"/>
      <c r="N160" s="89"/>
      <c r="O160" s="89"/>
      <c r="P160" s="89"/>
      <c r="Q160" s="89"/>
      <c r="R160" s="89"/>
      <c r="S160" s="89"/>
      <c r="T160" s="89"/>
      <c r="U160" s="89"/>
      <c r="V160" s="89"/>
      <c r="W160" s="89"/>
      <c r="X160" s="89"/>
      <c r="Y160" s="89"/>
    </row>
    <row r="161" spans="2:27" x14ac:dyDescent="0.35">
      <c r="E161" t="s">
        <v>159</v>
      </c>
      <c r="G161" t="s">
        <v>270</v>
      </c>
      <c r="J161" s="121">
        <f t="shared" ref="J161:K161" si="299">SUM(J132:J143,J146:J157)</f>
        <v>7.2414353933991542</v>
      </c>
      <c r="K161" s="121">
        <f t="shared" si="299"/>
        <v>0</v>
      </c>
      <c r="L161" s="121">
        <f t="shared" ref="L161:M161" si="300">SUM(L132:L143,L146:L157)</f>
        <v>10.32111579724789</v>
      </c>
      <c r="M161" s="121">
        <f t="shared" si="300"/>
        <v>0</v>
      </c>
      <c r="N161" s="121">
        <f t="shared" ref="N161:P161" si="301">SUM(N132:N143,N146:N157)</f>
        <v>27.1234520849282</v>
      </c>
      <c r="O161" s="121">
        <f t="shared" si="301"/>
        <v>63.777155343839667</v>
      </c>
      <c r="P161" s="121">
        <f t="shared" si="301"/>
        <v>322.05936254955475</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526.69511172822524</v>
      </c>
      <c r="Y161" s="121">
        <f>SUM(Y132:Y143,Y146:Y157)</f>
        <v>526.69511172822524</v>
      </c>
    </row>
    <row r="163" spans="2:27" x14ac:dyDescent="0.35">
      <c r="B163" s="30" t="s">
        <v>231</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35">
      <c r="C165" s="88"/>
      <c r="E165" t="s">
        <v>232</v>
      </c>
      <c r="G165" s="6" t="s">
        <v>55</v>
      </c>
      <c r="H165" s="103">
        <f t="array" ref="H165">SUM(IF(ISERROR(H18:Y161), 1))</f>
        <v>0</v>
      </c>
    </row>
    <row r="167" spans="2:27" x14ac:dyDescent="0.35">
      <c r="B167" s="30" t="s">
        <v>106</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35">
      <c r="C169" s="88"/>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76"/>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25" width="17" customWidth="1"/>
    <col min="26" max="26" width="2.453125" customWidth="1"/>
    <col min="27" max="27" width="50.54296875" customWidth="1"/>
    <col min="28" max="28" width="2.453125" customWidth="1"/>
    <col min="29" max="29" width="24.54296875" hidden="1" customWidth="1"/>
    <col min="30" max="30" width="3.54296875" hidden="1" customWidth="1"/>
    <col min="31" max="31" width="15.453125" hidden="1" customWidth="1"/>
    <col min="32" max="304" width="24.54296875" hidden="1" customWidth="1"/>
    <col min="305" max="16384" width="8.54296875" hidden="1"/>
  </cols>
  <sheetData>
    <row r="1" spans="1:27" s="1" customFormat="1" x14ac:dyDescent="0.35">
      <c r="A1" s="1" t="str">
        <f ca="1">MID(CELL("filename",A1),FIND("]",CELL("filename",A1))+1,255)</f>
        <v>SoLR &amp; bad debt adders</v>
      </c>
    </row>
    <row r="2" spans="1:27" s="1" customFormat="1" x14ac:dyDescent="0.35">
      <c r="A2" s="1" t="str">
        <f>Cover!D21&amp;" - "&amp;Cover!D23</f>
        <v>Scottish Hydro Electric Power Distribution plc - Final_V1.1 (Updated 31-01-22)</v>
      </c>
    </row>
    <row r="3" spans="1:27" s="5" customFormat="1" x14ac:dyDescent="0.35">
      <c r="A3" s="5" t="str">
        <f>Cover!D2&amp;" - "&amp;Cover!D8&amp;" v"&amp;Cover!D10&amp;" - "&amp;Cover!D19</f>
        <v>CDCM charging model - Release for charge setting v7 - 2022/23</v>
      </c>
    </row>
    <row r="4" spans="1:27" x14ac:dyDescent="0.35">
      <c r="A4" s="12" t="str">
        <f>H66 &amp; IF(H66 = 1, " issue", " issues") &amp;" identified in checks on this sheet"</f>
        <v>0 issues identified in checks on this sheet</v>
      </c>
      <c r="B4" s="13"/>
      <c r="C4" s="13"/>
      <c r="D4" s="13"/>
      <c r="E4" s="13"/>
      <c r="F4" s="13"/>
      <c r="G4" s="13"/>
      <c r="H4" s="14"/>
      <c r="I4" s="14"/>
      <c r="J4" s="13"/>
    </row>
    <row r="5" spans="1:27" ht="43.5" x14ac:dyDescent="0.35">
      <c r="B5" s="59" t="s">
        <v>142</v>
      </c>
      <c r="C5" s="60"/>
      <c r="D5" s="60"/>
      <c r="E5" s="60"/>
      <c r="F5" s="60"/>
      <c r="G5" s="61" t="s">
        <v>143</v>
      </c>
      <c r="H5" s="62" t="s">
        <v>144</v>
      </c>
      <c r="J5" s="62" t="s">
        <v>829</v>
      </c>
      <c r="K5" s="62" t="s">
        <v>831</v>
      </c>
      <c r="L5" s="62" t="s">
        <v>830</v>
      </c>
      <c r="M5" s="62" t="s">
        <v>832</v>
      </c>
      <c r="N5" s="62" t="s">
        <v>838</v>
      </c>
      <c r="O5" s="62" t="s">
        <v>839</v>
      </c>
      <c r="P5" s="62" t="s">
        <v>840</v>
      </c>
      <c r="Q5" s="62" t="s">
        <v>841</v>
      </c>
      <c r="R5" s="62" t="s">
        <v>833</v>
      </c>
      <c r="S5" s="62" t="s">
        <v>834</v>
      </c>
      <c r="T5" s="62" t="s">
        <v>835</v>
      </c>
      <c r="U5" s="62" t="s">
        <v>844</v>
      </c>
      <c r="V5" s="62" t="s">
        <v>836</v>
      </c>
      <c r="W5" s="62" t="s">
        <v>843</v>
      </c>
      <c r="X5" s="62" t="s">
        <v>837</v>
      </c>
      <c r="Y5" s="62" t="s">
        <v>842</v>
      </c>
      <c r="AA5" s="61" t="s">
        <v>145</v>
      </c>
    </row>
    <row r="7" spans="1:27"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35">
      <c r="C9" s="29" t="s">
        <v>866</v>
      </c>
      <c r="E9"/>
    </row>
    <row r="10" spans="1:27" x14ac:dyDescent="0.35">
      <c r="C10" s="29" t="s">
        <v>867</v>
      </c>
      <c r="E10"/>
    </row>
    <row r="12" spans="1:27" x14ac:dyDescent="0.35">
      <c r="B12" s="30" t="s">
        <v>868</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35">
      <c r="C14" s="29" t="s">
        <v>869</v>
      </c>
    </row>
    <row r="16" spans="1:27" x14ac:dyDescent="0.35">
      <c r="C16" s="31" t="str">
        <f ca="1">INDEX('Version control'!$H$34:$H$58,MATCH($A$1,'Version control'!$F$34:$F$58,0),1)&amp;"-A: Inputs for fixed tariff adjustments"</f>
        <v>Section 115-A: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35">
      <c r="E18" s="88" t="s">
        <v>212</v>
      </c>
      <c r="F18" s="32"/>
    </row>
    <row r="19" spans="3:27" x14ac:dyDescent="0.35">
      <c r="E19" s="29" t="s">
        <v>870</v>
      </c>
      <c r="F19" s="2"/>
    </row>
    <row r="20" spans="3:27" x14ac:dyDescent="0.35">
      <c r="C20" s="88"/>
      <c r="F20" s="23" t="s">
        <v>447</v>
      </c>
      <c r="G20" s="23" t="s">
        <v>212</v>
      </c>
      <c r="H20" s="278"/>
      <c r="I20" s="266"/>
      <c r="J20" s="278">
        <f>'Volume adjustments'!J202</f>
        <v>706592.44030903245</v>
      </c>
      <c r="K20" s="278">
        <f>'Volume adjustments'!K202</f>
        <v>72371.122331145176</v>
      </c>
      <c r="L20" s="278">
        <f>'Volume adjustments'!L202</f>
        <v>74730.220086894915</v>
      </c>
      <c r="M20" s="278">
        <f>'Volume adjustments'!M202</f>
        <v>2436.905804440873</v>
      </c>
      <c r="N20" s="278">
        <f>'Volume adjustments'!N202</f>
        <v>6768.4494706472788</v>
      </c>
      <c r="O20" s="278">
        <f>'Volume adjustments'!O202</f>
        <v>120.2167744036007</v>
      </c>
      <c r="P20" s="278">
        <f>'Volume adjustments'!P202</f>
        <v>697.25806451612891</v>
      </c>
      <c r="Q20" s="278">
        <f>'Volume adjustments'!Q202</f>
        <v>1886.5806451612905</v>
      </c>
      <c r="R20" s="278">
        <f>'Volume adjustments'!R202</f>
        <v>376.80645161290334</v>
      </c>
      <c r="S20" s="278">
        <f>'Volume adjustments'!S202</f>
        <v>1</v>
      </c>
      <c r="T20" s="278">
        <f>'Volume adjustments'!T202</f>
        <v>812.9295222209638</v>
      </c>
      <c r="U20" s="278">
        <f>'Volume adjustments'!U202</f>
        <v>0</v>
      </c>
      <c r="V20" s="278">
        <f>'Volume adjustments'!V202</f>
        <v>2</v>
      </c>
      <c r="W20" s="278">
        <f>'Volume adjustments'!W202</f>
        <v>0</v>
      </c>
      <c r="X20" s="278">
        <f>'Volume adjustments'!X202</f>
        <v>348.45161290322585</v>
      </c>
      <c r="Y20" s="278">
        <f>'Volume adjustments'!Y202</f>
        <v>0</v>
      </c>
      <c r="Z20" s="267"/>
      <c r="AA20" s="267"/>
    </row>
    <row r="21" spans="3:27" x14ac:dyDescent="0.35">
      <c r="C21" s="88"/>
      <c r="F21" t="s">
        <v>448</v>
      </c>
      <c r="G21" t="s">
        <v>212</v>
      </c>
      <c r="H21" s="279"/>
      <c r="I21" s="267"/>
      <c r="J21" s="279">
        <f>'Volume adjustments'!J211</f>
        <v>3073.516129032258</v>
      </c>
      <c r="K21" s="279">
        <f>'Volume adjustments'!K211</f>
        <v>0</v>
      </c>
      <c r="L21" s="279">
        <f>'Volume adjustments'!L211</f>
        <v>16.838709677419356</v>
      </c>
      <c r="M21" s="279">
        <f>'Volume adjustments'!M211</f>
        <v>0</v>
      </c>
      <c r="N21" s="279">
        <f>'Volume adjustments'!N211</f>
        <v>10</v>
      </c>
      <c r="O21" s="279">
        <f>'Volume adjustments'!O211</f>
        <v>0</v>
      </c>
      <c r="P21" s="279">
        <f>'Volume adjustments'!P211</f>
        <v>0</v>
      </c>
      <c r="Q21" s="279">
        <f>'Volume adjustments'!Q211</f>
        <v>2</v>
      </c>
      <c r="R21" s="279">
        <f>'Volume adjustments'!R211</f>
        <v>0</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7"/>
      <c r="AA21" s="267"/>
    </row>
    <row r="22" spans="3:27" x14ac:dyDescent="0.35">
      <c r="C22" s="88"/>
      <c r="F22" t="s">
        <v>449</v>
      </c>
      <c r="G22" t="s">
        <v>212</v>
      </c>
      <c r="H22" s="279"/>
      <c r="I22" s="267"/>
      <c r="J22" s="279">
        <f>'Volume adjustments'!J220</f>
        <v>7619.4875686369887</v>
      </c>
      <c r="K22" s="279">
        <f>'Volume adjustments'!K220</f>
        <v>0</v>
      </c>
      <c r="L22" s="279">
        <f>'Volume adjustments'!L220</f>
        <v>80.943133966835845</v>
      </c>
      <c r="M22" s="279">
        <f>'Volume adjustments'!M220</f>
        <v>0</v>
      </c>
      <c r="N22" s="279">
        <f>'Volume adjustments'!N220</f>
        <v>13.125087437722472</v>
      </c>
      <c r="O22" s="279">
        <f>'Volume adjustments'!O220</f>
        <v>2</v>
      </c>
      <c r="P22" s="279">
        <f>'Volume adjustments'!P220</f>
        <v>1</v>
      </c>
      <c r="Q22" s="279">
        <f>'Volume adjustments'!Q220</f>
        <v>3.7419354838709675</v>
      </c>
      <c r="R22" s="279">
        <f>'Volume adjustments'!R220</f>
        <v>0</v>
      </c>
      <c r="S22" s="279">
        <f>'Volume adjustments'!S220</f>
        <v>0</v>
      </c>
      <c r="T22" s="279">
        <f>'Volume adjustments'!T220</f>
        <v>0</v>
      </c>
      <c r="U22" s="279">
        <f>'Volume adjustments'!U220</f>
        <v>0</v>
      </c>
      <c r="V22" s="279">
        <f>'Volume adjustments'!V220</f>
        <v>0</v>
      </c>
      <c r="W22" s="279">
        <f>'Volume adjustments'!W220</f>
        <v>0</v>
      </c>
      <c r="X22" s="279">
        <f>'Volume adjustments'!X220</f>
        <v>0</v>
      </c>
      <c r="Y22" s="279">
        <f>'Volume adjustments'!Y220</f>
        <v>0</v>
      </c>
      <c r="Z22" s="267"/>
      <c r="AA22" s="267"/>
    </row>
    <row r="23" spans="3:27" x14ac:dyDescent="0.35">
      <c r="C23" s="88"/>
      <c r="F23" s="37" t="s">
        <v>871</v>
      </c>
      <c r="G23" s="37" t="s">
        <v>212</v>
      </c>
      <c r="H23" s="211"/>
      <c r="I23" s="37"/>
      <c r="J23" s="125">
        <f>'Inputs by customer type'!J161</f>
        <v>0</v>
      </c>
      <c r="K23" s="125">
        <f>'Inputs by customer type'!K161</f>
        <v>0</v>
      </c>
      <c r="L23" s="125">
        <f>'Inputs by customer type'!L161</f>
        <v>0</v>
      </c>
      <c r="M23" s="125">
        <f>'Inputs by customer type'!M161</f>
        <v>0</v>
      </c>
      <c r="N23" s="125">
        <f>'Inputs by customer type'!N161</f>
        <v>0</v>
      </c>
      <c r="O23" s="125">
        <f>'Inputs by customer type'!O161</f>
        <v>0</v>
      </c>
      <c r="P23" s="125">
        <f>'Inputs by customer type'!P161</f>
        <v>0</v>
      </c>
      <c r="Q23" s="125">
        <f>'Inputs by customer type'!Q161</f>
        <v>0</v>
      </c>
      <c r="R23" s="125">
        <f>'Inputs by customer type'!R161</f>
        <v>0</v>
      </c>
      <c r="S23" s="125">
        <f>'Inputs by customer type'!S161</f>
        <v>0</v>
      </c>
      <c r="T23" s="125">
        <f>'Inputs by customer type'!T161</f>
        <v>0</v>
      </c>
      <c r="U23" s="125">
        <f>'Inputs by customer type'!U161</f>
        <v>0</v>
      </c>
      <c r="V23" s="125">
        <f>'Inputs by customer type'!V161</f>
        <v>0</v>
      </c>
      <c r="W23" s="125">
        <f>'Inputs by customer type'!W161</f>
        <v>0</v>
      </c>
      <c r="X23" s="125">
        <f>'Inputs by customer type'!X161</f>
        <v>0</v>
      </c>
      <c r="Y23" s="125">
        <f>'Inputs by customer type'!Y161</f>
        <v>0</v>
      </c>
    </row>
    <row r="24" spans="3:27" x14ac:dyDescent="0.35">
      <c r="C24" s="88"/>
      <c r="E24"/>
      <c r="J24" s="89"/>
      <c r="K24" s="89"/>
      <c r="L24" s="89"/>
      <c r="M24" s="89"/>
      <c r="N24" s="89"/>
      <c r="O24" s="89"/>
      <c r="P24" s="89"/>
      <c r="Q24" s="89"/>
      <c r="R24" s="89"/>
      <c r="S24" s="89"/>
      <c r="T24" s="89"/>
      <c r="U24" s="89"/>
      <c r="V24" s="89"/>
      <c r="W24" s="89"/>
      <c r="X24" s="89"/>
      <c r="Y24" s="89"/>
    </row>
    <row r="25" spans="3:27" x14ac:dyDescent="0.35">
      <c r="C25" s="88"/>
      <c r="E25" s="32" t="s">
        <v>872</v>
      </c>
      <c r="J25" s="89"/>
      <c r="K25" s="89"/>
      <c r="L25" s="89"/>
      <c r="M25" s="89"/>
      <c r="N25" s="89"/>
      <c r="O25" s="89"/>
      <c r="P25" s="89"/>
      <c r="Q25" s="89"/>
      <c r="R25" s="89"/>
      <c r="S25" s="89"/>
      <c r="T25" s="89"/>
      <c r="U25" s="89"/>
      <c r="V25" s="89"/>
      <c r="W25" s="89"/>
      <c r="X25" s="89"/>
      <c r="Y25" s="89"/>
    </row>
    <row r="26" spans="3:27" x14ac:dyDescent="0.35">
      <c r="C26" s="88"/>
      <c r="E26"/>
      <c r="F26" s="23" t="s">
        <v>873</v>
      </c>
      <c r="G26" s="23" t="s">
        <v>176</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35">
      <c r="C27" s="88"/>
      <c r="E27"/>
      <c r="F27" s="37" t="s">
        <v>874</v>
      </c>
      <c r="G27" s="37" t="s">
        <v>176</v>
      </c>
      <c r="H27" s="37"/>
      <c r="I27" s="37"/>
      <c r="J27" s="211">
        <f>'Fixed inputs'!J159</f>
        <v>1</v>
      </c>
      <c r="K27" s="211">
        <f>'Fixed inputs'!K159</f>
        <v>0</v>
      </c>
      <c r="L27" s="211">
        <f>'Fixed inputs'!L159</f>
        <v>1</v>
      </c>
      <c r="M27" s="211">
        <f>'Fixed inputs'!M159</f>
        <v>0</v>
      </c>
      <c r="N27" s="211">
        <f>'Fixed inputs'!N159</f>
        <v>1</v>
      </c>
      <c r="O27" s="211">
        <f>'Fixed inputs'!O159</f>
        <v>1</v>
      </c>
      <c r="P27" s="211">
        <f>'Fixed inputs'!P159</f>
        <v>1</v>
      </c>
      <c r="Q27" s="211">
        <f>'Fixed inputs'!Q159</f>
        <v>0</v>
      </c>
      <c r="R27" s="211">
        <f>'Fixed inputs'!R159</f>
        <v>0</v>
      </c>
      <c r="S27" s="211">
        <f>'Fixed inputs'!S159</f>
        <v>0</v>
      </c>
      <c r="T27" s="211">
        <f>'Fixed inputs'!T159</f>
        <v>0</v>
      </c>
      <c r="U27" s="211">
        <f>'Fixed inputs'!U159</f>
        <v>0</v>
      </c>
      <c r="V27" s="211">
        <f>'Fixed inputs'!V159</f>
        <v>0</v>
      </c>
      <c r="W27" s="211">
        <f>'Fixed inputs'!W159</f>
        <v>0</v>
      </c>
      <c r="X27" s="211">
        <f>'Fixed inputs'!X159</f>
        <v>0</v>
      </c>
      <c r="Y27" s="211">
        <f>'Fixed inputs'!Y159</f>
        <v>0</v>
      </c>
    </row>
    <row r="28" spans="3:27" x14ac:dyDescent="0.35">
      <c r="C28" s="88"/>
      <c r="E28"/>
      <c r="J28" s="89"/>
      <c r="K28" s="89"/>
      <c r="L28" s="89"/>
      <c r="M28" s="89"/>
      <c r="N28" s="89"/>
      <c r="O28" s="89"/>
      <c r="P28" s="89"/>
      <c r="Q28" s="89"/>
      <c r="R28" s="89"/>
      <c r="S28" s="89"/>
      <c r="T28" s="89"/>
      <c r="U28" s="89"/>
      <c r="V28" s="89"/>
      <c r="W28" s="89"/>
      <c r="X28" s="89"/>
      <c r="Y28" s="89"/>
    </row>
    <row r="29" spans="3:27" x14ac:dyDescent="0.35">
      <c r="C29" s="88"/>
      <c r="E29" s="32" t="s">
        <v>875</v>
      </c>
      <c r="J29" s="89"/>
      <c r="K29" s="89"/>
      <c r="L29" s="89"/>
      <c r="M29" s="89"/>
      <c r="N29" s="89"/>
      <c r="O29" s="89"/>
      <c r="P29" s="89"/>
      <c r="Q29" s="89"/>
      <c r="R29" s="89"/>
      <c r="S29" s="89"/>
      <c r="T29" s="89"/>
      <c r="U29" s="89"/>
      <c r="V29" s="89"/>
      <c r="W29" s="89"/>
      <c r="X29" s="89"/>
      <c r="Y29" s="89"/>
    </row>
    <row r="30" spans="3:27" x14ac:dyDescent="0.35">
      <c r="C30" s="88"/>
      <c r="E30"/>
      <c r="F30" s="23" t="s">
        <v>873</v>
      </c>
      <c r="G30" s="23" t="s">
        <v>277</v>
      </c>
      <c r="H30" s="124">
        <f>'General inputs'!H53</f>
        <v>25848144.288034882</v>
      </c>
      <c r="J30" s="120"/>
      <c r="K30" s="120"/>
      <c r="L30" s="120"/>
      <c r="M30" s="120"/>
      <c r="N30" s="120"/>
      <c r="O30" s="120"/>
      <c r="P30" s="120"/>
      <c r="Q30" s="120"/>
      <c r="R30" s="120"/>
      <c r="S30" s="120"/>
      <c r="T30" s="120"/>
      <c r="U30" s="120"/>
      <c r="V30" s="120"/>
      <c r="W30" s="120"/>
      <c r="X30" s="120"/>
      <c r="Y30" s="120"/>
    </row>
    <row r="31" spans="3:27" x14ac:dyDescent="0.35">
      <c r="C31" s="88"/>
      <c r="E31"/>
      <c r="F31" s="37" t="s">
        <v>874</v>
      </c>
      <c r="G31" s="37" t="s">
        <v>277</v>
      </c>
      <c r="H31" s="125">
        <f>'General inputs'!H54</f>
        <v>145062.72659518197</v>
      </c>
      <c r="J31" s="120"/>
      <c r="K31" s="120"/>
      <c r="L31" s="120"/>
      <c r="M31" s="120"/>
      <c r="N31" s="120"/>
      <c r="O31" s="120"/>
      <c r="P31" s="120"/>
      <c r="Q31" s="120"/>
      <c r="R31" s="120"/>
      <c r="S31" s="120"/>
      <c r="T31" s="120"/>
      <c r="U31" s="120"/>
      <c r="V31" s="120"/>
      <c r="W31" s="120"/>
      <c r="X31" s="120"/>
      <c r="Y31" s="120"/>
    </row>
    <row r="33" spans="3:27" x14ac:dyDescent="0.35">
      <c r="C33" s="31" t="str">
        <f ca="1">INDEX('Version control'!$H$34:$H$58,MATCH($A$1,'Version control'!$F$34:$F$58,0),1)&amp;"-B: Calculation of fixed tariff adjustments"</f>
        <v>Section 115-B: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35">
      <c r="C34" s="88"/>
      <c r="E34"/>
      <c r="J34" s="89"/>
      <c r="K34" s="89"/>
      <c r="L34" s="89"/>
      <c r="M34" s="89"/>
      <c r="N34" s="89"/>
      <c r="O34" s="89"/>
      <c r="P34" s="89"/>
      <c r="Q34" s="89"/>
      <c r="R34" s="89"/>
      <c r="S34" s="89"/>
      <c r="T34" s="89"/>
      <c r="U34" s="89"/>
      <c r="V34" s="89"/>
      <c r="W34" s="89"/>
      <c r="X34" s="89"/>
      <c r="Y34" s="89"/>
    </row>
    <row r="35" spans="3:27" x14ac:dyDescent="0.35">
      <c r="C35" s="88"/>
      <c r="E35" s="32" t="s">
        <v>876</v>
      </c>
      <c r="J35" s="89"/>
      <c r="K35" s="89"/>
      <c r="L35" s="89"/>
      <c r="M35" s="89"/>
      <c r="N35" s="89"/>
      <c r="O35" s="89"/>
      <c r="P35" s="89"/>
      <c r="Q35" s="89"/>
      <c r="R35" s="89"/>
      <c r="S35" s="89"/>
      <c r="T35" s="89"/>
      <c r="U35" s="89"/>
      <c r="V35" s="89"/>
      <c r="W35" s="89"/>
      <c r="X35" s="89"/>
      <c r="Y35" s="89"/>
    </row>
    <row r="36" spans="3:27" x14ac:dyDescent="0.35">
      <c r="F36" s="23" t="s">
        <v>873</v>
      </c>
      <c r="G36" s="23" t="s">
        <v>212</v>
      </c>
      <c r="H36" s="23"/>
      <c r="I36" s="23"/>
      <c r="J36" s="158">
        <f>SUM( J$20:J$23 ) * J26</f>
        <v>717285.4440067017</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35">
      <c r="F37" s="37" t="s">
        <v>874</v>
      </c>
      <c r="G37" s="37" t="s">
        <v>212</v>
      </c>
      <c r="H37" s="37"/>
      <c r="I37" s="37"/>
      <c r="J37" s="82">
        <f t="shared" ref="J37:Y37" si="1">SUM( J$20:J$23 ) * J27</f>
        <v>717285.4440067017</v>
      </c>
      <c r="K37" s="82">
        <f t="shared" si="1"/>
        <v>0</v>
      </c>
      <c r="L37" s="82">
        <f t="shared" si="1"/>
        <v>74828.001930539176</v>
      </c>
      <c r="M37" s="82">
        <f t="shared" si="1"/>
        <v>0</v>
      </c>
      <c r="N37" s="82">
        <f t="shared" si="1"/>
        <v>6791.5745580850016</v>
      </c>
      <c r="O37" s="82">
        <f t="shared" si="1"/>
        <v>122.2167744036007</v>
      </c>
      <c r="P37" s="82">
        <f t="shared" si="1"/>
        <v>698.25806451612891</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35">
      <c r="C38" s="88"/>
      <c r="E38"/>
      <c r="J38" s="89"/>
      <c r="K38" s="89"/>
      <c r="L38" s="89"/>
      <c r="M38" s="89"/>
      <c r="N38" s="89"/>
      <c r="O38" s="89"/>
      <c r="P38" s="89"/>
      <c r="Q38" s="89"/>
      <c r="R38" s="89"/>
      <c r="S38" s="89"/>
      <c r="T38" s="89"/>
      <c r="U38" s="89"/>
      <c r="V38" s="89"/>
      <c r="W38" s="89"/>
      <c r="X38" s="89"/>
      <c r="Y38" s="89"/>
    </row>
    <row r="39" spans="3:27" x14ac:dyDescent="0.35">
      <c r="C39" s="88"/>
      <c r="E39" s="32" t="s">
        <v>877</v>
      </c>
      <c r="I39" t="s">
        <v>154</v>
      </c>
      <c r="J39" s="89"/>
      <c r="K39" s="89"/>
      <c r="L39" s="89"/>
      <c r="M39" s="89"/>
      <c r="N39" s="89"/>
      <c r="O39" s="89"/>
      <c r="P39" s="89"/>
      <c r="Q39" s="89"/>
      <c r="R39" s="89"/>
      <c r="S39" s="89"/>
      <c r="T39" s="89"/>
      <c r="U39" s="89"/>
      <c r="V39" s="89"/>
      <c r="W39" s="89"/>
      <c r="X39" s="89"/>
      <c r="Y39" s="89"/>
      <c r="AA39" t="s">
        <v>906</v>
      </c>
    </row>
    <row r="40" spans="3:27" x14ac:dyDescent="0.35">
      <c r="C40" s="88"/>
      <c r="E40"/>
      <c r="F40" s="23" t="s">
        <v>873</v>
      </c>
      <c r="G40" s="23" t="s">
        <v>270</v>
      </c>
      <c r="H40" s="322">
        <f>H30 / SUM( J36:Y36 ) * hundred / days_in_year</f>
        <v>9.8728942929988346</v>
      </c>
      <c r="I40" s="14"/>
      <c r="J40" s="194"/>
      <c r="K40" s="194"/>
      <c r="L40" s="194"/>
      <c r="M40" s="194"/>
      <c r="N40" s="194"/>
      <c r="O40" s="194"/>
      <c r="P40" s="194"/>
      <c r="Q40" s="194"/>
      <c r="R40" s="194"/>
      <c r="S40" s="194"/>
      <c r="T40" s="194"/>
      <c r="U40" s="194"/>
      <c r="V40" s="194"/>
      <c r="W40" s="194"/>
      <c r="X40" s="194"/>
      <c r="Y40" s="194"/>
    </row>
    <row r="41" spans="3:27" x14ac:dyDescent="0.35">
      <c r="C41" s="88"/>
      <c r="E41"/>
      <c r="F41" s="37" t="s">
        <v>874</v>
      </c>
      <c r="G41" s="37" t="s">
        <v>270</v>
      </c>
      <c r="H41" s="323">
        <f>H31 / SUM( J37:Y37 ) * hundred / days_in_year</f>
        <v>4.9696068210495895E-2</v>
      </c>
      <c r="I41" s="14"/>
      <c r="J41" s="194"/>
      <c r="K41" s="194"/>
      <c r="L41" s="194"/>
      <c r="M41" s="194"/>
      <c r="N41" s="194"/>
      <c r="O41" s="194"/>
      <c r="P41" s="194"/>
      <c r="Q41" s="194"/>
      <c r="R41" s="194"/>
      <c r="S41" s="194"/>
      <c r="T41" s="194"/>
      <c r="U41" s="194"/>
      <c r="V41" s="194"/>
      <c r="W41" s="194"/>
      <c r="X41" s="194"/>
      <c r="Y41" s="194"/>
    </row>
    <row r="42" spans="3:27" x14ac:dyDescent="0.35">
      <c r="C42" s="88"/>
      <c r="E42"/>
      <c r="H42" s="14"/>
      <c r="I42" s="14"/>
      <c r="J42" s="163"/>
      <c r="K42" s="163"/>
      <c r="L42" s="163"/>
      <c r="M42" s="163"/>
      <c r="N42" s="163"/>
      <c r="O42" s="163"/>
      <c r="P42" s="163"/>
      <c r="Q42" s="163"/>
      <c r="R42" s="163"/>
      <c r="S42" s="163"/>
      <c r="T42" s="163"/>
      <c r="U42" s="163"/>
      <c r="V42" s="163"/>
      <c r="W42" s="163"/>
      <c r="X42" s="163"/>
      <c r="Y42" s="163"/>
    </row>
    <row r="43" spans="3:27" x14ac:dyDescent="0.35">
      <c r="C43" s="88"/>
      <c r="E43" s="32" t="s">
        <v>878</v>
      </c>
      <c r="H43" s="14"/>
      <c r="I43" s="14"/>
      <c r="J43" s="163"/>
      <c r="K43" s="163"/>
      <c r="L43" s="163"/>
      <c r="M43" s="163"/>
      <c r="N43" s="163"/>
      <c r="O43" s="163"/>
      <c r="P43" s="163"/>
      <c r="Q43" s="163"/>
      <c r="R43" s="163"/>
      <c r="S43" s="163"/>
      <c r="T43" s="163"/>
      <c r="U43" s="163"/>
      <c r="V43" s="163"/>
      <c r="W43" s="163"/>
      <c r="X43" s="163"/>
      <c r="Y43" s="163"/>
    </row>
    <row r="44" spans="3:27" x14ac:dyDescent="0.35">
      <c r="C44" s="88"/>
      <c r="E44"/>
      <c r="F44" s="23" t="s">
        <v>873</v>
      </c>
      <c r="G44" s="23" t="s">
        <v>270</v>
      </c>
      <c r="H44" s="322"/>
      <c r="I44" s="322"/>
      <c r="J44" s="322">
        <f>IF( J26 = 1, $H40, 0)</f>
        <v>9.8728942929988346</v>
      </c>
      <c r="K44" s="322">
        <f t="shared" ref="K44:Y44" si="2">IF( K26 = 1, $H40, 0)</f>
        <v>0</v>
      </c>
      <c r="L44" s="322">
        <f t="shared" si="2"/>
        <v>0</v>
      </c>
      <c r="M44" s="322">
        <f t="shared" si="2"/>
        <v>0</v>
      </c>
      <c r="N44" s="322">
        <f t="shared" si="2"/>
        <v>0</v>
      </c>
      <c r="O44" s="322">
        <f t="shared" si="2"/>
        <v>0</v>
      </c>
      <c r="P44" s="322">
        <f t="shared" si="2"/>
        <v>0</v>
      </c>
      <c r="Q44" s="322">
        <f t="shared" si="2"/>
        <v>0</v>
      </c>
      <c r="R44" s="322">
        <f t="shared" si="2"/>
        <v>0</v>
      </c>
      <c r="S44" s="322">
        <f t="shared" si="2"/>
        <v>0</v>
      </c>
      <c r="T44" s="322">
        <f t="shared" si="2"/>
        <v>0</v>
      </c>
      <c r="U44" s="322">
        <f t="shared" si="2"/>
        <v>0</v>
      </c>
      <c r="V44" s="322">
        <f t="shared" si="2"/>
        <v>0</v>
      </c>
      <c r="W44" s="322">
        <f t="shared" si="2"/>
        <v>0</v>
      </c>
      <c r="X44" s="322">
        <f t="shared" si="2"/>
        <v>0</v>
      </c>
      <c r="Y44" s="322">
        <f t="shared" si="2"/>
        <v>0</v>
      </c>
    </row>
    <row r="45" spans="3:27" x14ac:dyDescent="0.35">
      <c r="C45" s="88"/>
      <c r="E45"/>
      <c r="F45" s="37" t="s">
        <v>874</v>
      </c>
      <c r="G45" s="37" t="s">
        <v>270</v>
      </c>
      <c r="H45" s="323"/>
      <c r="I45" s="323"/>
      <c r="J45" s="323">
        <f t="shared" ref="J45:Y45" si="3">IF( J27 = 1, $H41, 0)</f>
        <v>4.9696068210495895E-2</v>
      </c>
      <c r="K45" s="323">
        <f t="shared" si="3"/>
        <v>0</v>
      </c>
      <c r="L45" s="323">
        <f t="shared" si="3"/>
        <v>4.9696068210495895E-2</v>
      </c>
      <c r="M45" s="323">
        <f t="shared" si="3"/>
        <v>0</v>
      </c>
      <c r="N45" s="323">
        <f t="shared" si="3"/>
        <v>4.9696068210495895E-2</v>
      </c>
      <c r="O45" s="323">
        <f t="shared" si="3"/>
        <v>4.9696068210495895E-2</v>
      </c>
      <c r="P45" s="323">
        <f t="shared" si="3"/>
        <v>4.9696068210495895E-2</v>
      </c>
      <c r="Q45" s="323">
        <f t="shared" si="3"/>
        <v>0</v>
      </c>
      <c r="R45" s="323">
        <f t="shared" si="3"/>
        <v>0</v>
      </c>
      <c r="S45" s="323">
        <f t="shared" si="3"/>
        <v>0</v>
      </c>
      <c r="T45" s="323">
        <f t="shared" si="3"/>
        <v>0</v>
      </c>
      <c r="U45" s="323">
        <f t="shared" si="3"/>
        <v>0</v>
      </c>
      <c r="V45" s="323">
        <f t="shared" si="3"/>
        <v>0</v>
      </c>
      <c r="W45" s="323">
        <f t="shared" si="3"/>
        <v>0</v>
      </c>
      <c r="X45" s="323">
        <f t="shared" si="3"/>
        <v>0</v>
      </c>
      <c r="Y45" s="323">
        <f t="shared" si="3"/>
        <v>0</v>
      </c>
    </row>
    <row r="46" spans="3:27" x14ac:dyDescent="0.35">
      <c r="C46" s="88"/>
      <c r="E46"/>
      <c r="F46" s="108" t="s">
        <v>545</v>
      </c>
      <c r="G46" s="108" t="s">
        <v>270</v>
      </c>
      <c r="H46" s="216"/>
      <c r="I46" s="216"/>
      <c r="J46" s="324">
        <f xml:space="preserve"> J44 + J45</f>
        <v>9.9225903612093305</v>
      </c>
      <c r="K46" s="324">
        <f t="shared" ref="K46:Y46" si="4" xml:space="preserve"> K44 + K45</f>
        <v>0</v>
      </c>
      <c r="L46" s="324">
        <f t="shared" si="4"/>
        <v>4.9696068210495895E-2</v>
      </c>
      <c r="M46" s="324">
        <f t="shared" si="4"/>
        <v>0</v>
      </c>
      <c r="N46" s="324">
        <f t="shared" si="4"/>
        <v>4.9696068210495895E-2</v>
      </c>
      <c r="O46" s="324">
        <f t="shared" si="4"/>
        <v>4.9696068210495895E-2</v>
      </c>
      <c r="P46" s="324">
        <f t="shared" si="4"/>
        <v>4.9696068210495895E-2</v>
      </c>
      <c r="Q46" s="324">
        <f t="shared" si="4"/>
        <v>0</v>
      </c>
      <c r="R46" s="324">
        <f t="shared" si="4"/>
        <v>0</v>
      </c>
      <c r="S46" s="324">
        <f t="shared" si="4"/>
        <v>0</v>
      </c>
      <c r="T46" s="324">
        <f t="shared" si="4"/>
        <v>0</v>
      </c>
      <c r="U46" s="324">
        <f t="shared" si="4"/>
        <v>0</v>
      </c>
      <c r="V46" s="324">
        <f t="shared" si="4"/>
        <v>0</v>
      </c>
      <c r="W46" s="324">
        <f t="shared" si="4"/>
        <v>0</v>
      </c>
      <c r="X46" s="324">
        <f t="shared" si="4"/>
        <v>0</v>
      </c>
      <c r="Y46" s="324">
        <f t="shared" si="4"/>
        <v>0</v>
      </c>
    </row>
    <row r="47" spans="3:27" x14ac:dyDescent="0.35">
      <c r="C47" s="88"/>
      <c r="H47" s="14"/>
      <c r="I47" s="14"/>
      <c r="J47" s="14"/>
      <c r="K47" s="14"/>
      <c r="L47" s="14"/>
      <c r="M47" s="14"/>
      <c r="N47" s="14"/>
      <c r="O47" s="14"/>
      <c r="P47" s="14"/>
      <c r="Q47" s="14"/>
      <c r="R47" s="14"/>
      <c r="S47" s="14"/>
      <c r="T47" s="14"/>
      <c r="U47" s="14"/>
      <c r="V47" s="14"/>
      <c r="W47" s="14"/>
      <c r="X47" s="14"/>
      <c r="Y47" s="14"/>
    </row>
    <row r="48" spans="3:27" x14ac:dyDescent="0.35">
      <c r="C48" s="31" t="str">
        <f ca="1">INDEX('Version control'!$H$34:$H$58,MATCH($A$1,'Version control'!$F$34:$F$58,0),1)&amp;"-C: Calculation of fixed charge adder revenue"</f>
        <v>Section 115-C: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35">
      <c r="C49" s="88"/>
      <c r="E49"/>
      <c r="J49" s="89"/>
      <c r="K49" s="89"/>
      <c r="L49" s="89"/>
      <c r="M49" s="89"/>
      <c r="N49" s="89"/>
      <c r="O49" s="89"/>
      <c r="P49" s="89"/>
      <c r="Q49" s="89"/>
      <c r="R49" s="89"/>
      <c r="S49" s="89"/>
      <c r="T49" s="89"/>
      <c r="U49" s="89"/>
      <c r="V49" s="89"/>
      <c r="W49" s="89"/>
      <c r="X49" s="89"/>
      <c r="Y49" s="89"/>
    </row>
    <row r="50" spans="2:27" x14ac:dyDescent="0.35">
      <c r="E50" t="s">
        <v>879</v>
      </c>
      <c r="G50" s="6" t="s">
        <v>277</v>
      </c>
      <c r="H50" s="215"/>
      <c r="I50" s="14"/>
      <c r="J50" s="215">
        <f t="shared" ref="J50:Y50" si="5">J46 / hundred * days_in_year * SUM( J20:J22 )</f>
        <v>25978253.160218786</v>
      </c>
      <c r="K50" s="215">
        <f t="shared" si="5"/>
        <v>0</v>
      </c>
      <c r="L50" s="215">
        <f t="shared" si="5"/>
        <v>13573.099831182457</v>
      </c>
      <c r="M50" s="215">
        <f t="shared" si="5"/>
        <v>0</v>
      </c>
      <c r="N50" s="215">
        <f t="shared" si="5"/>
        <v>1231.9281166077019</v>
      </c>
      <c r="O50" s="215">
        <f t="shared" si="5"/>
        <v>22.168980023882671</v>
      </c>
      <c r="P50" s="215">
        <f t="shared" si="5"/>
        <v>126.65748346993672</v>
      </c>
      <c r="Q50" s="215">
        <f t="shared" si="5"/>
        <v>0</v>
      </c>
      <c r="R50" s="215">
        <f t="shared" si="5"/>
        <v>0</v>
      </c>
      <c r="S50" s="215">
        <f t="shared" si="5"/>
        <v>0</v>
      </c>
      <c r="T50" s="215">
        <f t="shared" si="5"/>
        <v>0</v>
      </c>
      <c r="U50" s="215">
        <f t="shared" si="5"/>
        <v>0</v>
      </c>
      <c r="V50" s="215">
        <f t="shared" si="5"/>
        <v>0</v>
      </c>
      <c r="W50" s="215">
        <f t="shared" si="5"/>
        <v>0</v>
      </c>
      <c r="X50" s="215">
        <f t="shared" si="5"/>
        <v>0</v>
      </c>
      <c r="Y50" s="215">
        <f t="shared" si="5"/>
        <v>0</v>
      </c>
    </row>
    <row r="51" spans="2:27" x14ac:dyDescent="0.35">
      <c r="H51" s="14"/>
      <c r="I51" s="14"/>
      <c r="J51" s="14"/>
      <c r="K51" s="14"/>
      <c r="L51" s="14"/>
      <c r="M51" s="14"/>
      <c r="N51" s="14"/>
      <c r="O51" s="14"/>
      <c r="P51" s="14"/>
      <c r="Q51" s="14"/>
      <c r="R51" s="14"/>
      <c r="S51" s="14"/>
      <c r="T51" s="14"/>
      <c r="U51" s="14"/>
      <c r="V51" s="14"/>
      <c r="W51" s="14"/>
      <c r="X51" s="14"/>
      <c r="Y51" s="14"/>
    </row>
    <row r="52" spans="2:27" x14ac:dyDescent="0.35">
      <c r="E52" t="s">
        <v>880</v>
      </c>
      <c r="G52" s="6" t="s">
        <v>277</v>
      </c>
      <c r="H52" s="199">
        <f>SUM( J50:Y50 )</f>
        <v>25993207.014630072</v>
      </c>
      <c r="I52" s="14"/>
      <c r="J52" s="14"/>
      <c r="K52" s="14"/>
      <c r="L52" s="14"/>
      <c r="M52" s="14"/>
      <c r="N52" s="14"/>
      <c r="O52" s="14"/>
      <c r="P52" s="14"/>
      <c r="Q52" s="14"/>
      <c r="R52" s="14"/>
      <c r="S52" s="14"/>
      <c r="T52" s="14"/>
      <c r="U52" s="14"/>
      <c r="V52" s="14"/>
      <c r="W52" s="14"/>
      <c r="X52" s="14"/>
      <c r="Y52" s="14"/>
    </row>
    <row r="53" spans="2:27" x14ac:dyDescent="0.35">
      <c r="H53" s="14"/>
      <c r="I53" s="14"/>
      <c r="J53" s="14"/>
      <c r="K53" s="14"/>
      <c r="L53" s="14"/>
      <c r="M53" s="14"/>
      <c r="N53" s="14"/>
      <c r="O53" s="14"/>
      <c r="P53" s="14"/>
      <c r="Q53" s="14"/>
      <c r="R53" s="14"/>
      <c r="S53" s="14"/>
      <c r="T53" s="14"/>
      <c r="U53" s="14"/>
      <c r="V53" s="14"/>
      <c r="W53" s="14"/>
      <c r="X53" s="14"/>
      <c r="Y53" s="14"/>
    </row>
    <row r="54" spans="2:27" x14ac:dyDescent="0.35">
      <c r="E54" t="s">
        <v>881</v>
      </c>
      <c r="G54" s="6" t="s">
        <v>277</v>
      </c>
      <c r="H54" s="215"/>
      <c r="I54" s="14"/>
      <c r="J54" s="215">
        <f t="shared" ref="J54:Y54" si="6">J46 / hundred * days_in_year * J23</f>
        <v>0</v>
      </c>
      <c r="K54" s="215">
        <f t="shared" si="6"/>
        <v>0</v>
      </c>
      <c r="L54" s="215">
        <f t="shared" si="6"/>
        <v>0</v>
      </c>
      <c r="M54" s="215">
        <f t="shared" si="6"/>
        <v>0</v>
      </c>
      <c r="N54" s="215">
        <f t="shared" si="6"/>
        <v>0</v>
      </c>
      <c r="O54" s="215">
        <f t="shared" si="6"/>
        <v>0</v>
      </c>
      <c r="P54" s="215">
        <f t="shared" si="6"/>
        <v>0</v>
      </c>
      <c r="Q54" s="215">
        <f t="shared" si="6"/>
        <v>0</v>
      </c>
      <c r="R54" s="215">
        <f t="shared" si="6"/>
        <v>0</v>
      </c>
      <c r="S54" s="215">
        <f t="shared" si="6"/>
        <v>0</v>
      </c>
      <c r="T54" s="215">
        <f t="shared" si="6"/>
        <v>0</v>
      </c>
      <c r="U54" s="215">
        <f t="shared" si="6"/>
        <v>0</v>
      </c>
      <c r="V54" s="215">
        <f t="shared" si="6"/>
        <v>0</v>
      </c>
      <c r="W54" s="215">
        <f t="shared" si="6"/>
        <v>0</v>
      </c>
      <c r="X54" s="215">
        <f t="shared" si="6"/>
        <v>0</v>
      </c>
      <c r="Y54" s="215">
        <f t="shared" si="6"/>
        <v>0</v>
      </c>
    </row>
    <row r="55" spans="2:27" x14ac:dyDescent="0.35">
      <c r="H55" s="14"/>
      <c r="I55" s="14"/>
      <c r="J55" s="14"/>
      <c r="K55" s="14"/>
      <c r="L55" s="14"/>
      <c r="M55" s="14"/>
      <c r="N55" s="14"/>
      <c r="O55" s="14"/>
      <c r="P55" s="14"/>
      <c r="Q55" s="14"/>
      <c r="R55" s="14"/>
      <c r="S55" s="14"/>
      <c r="T55" s="14"/>
      <c r="U55" s="14"/>
      <c r="V55" s="14"/>
      <c r="W55" s="14"/>
      <c r="X55" s="14"/>
      <c r="Y55" s="14"/>
    </row>
    <row r="56" spans="2:27" x14ac:dyDescent="0.35">
      <c r="E56" t="s">
        <v>882</v>
      </c>
      <c r="G56" s="6" t="s">
        <v>277</v>
      </c>
      <c r="H56" s="199">
        <f>SUM( J54:Y54 )</f>
        <v>0</v>
      </c>
      <c r="I56" s="14"/>
      <c r="J56" s="14"/>
      <c r="K56" s="14"/>
      <c r="L56" s="14"/>
      <c r="M56" s="14"/>
      <c r="N56" s="14"/>
      <c r="O56" s="14"/>
      <c r="P56" s="14"/>
      <c r="Q56" s="14"/>
      <c r="R56" s="14"/>
      <c r="S56" s="14"/>
      <c r="T56" s="14"/>
      <c r="U56" s="14"/>
      <c r="V56" s="14"/>
      <c r="W56" s="14"/>
      <c r="X56" s="14"/>
      <c r="Y56" s="14"/>
    </row>
    <row r="57" spans="2:27" x14ac:dyDescent="0.35">
      <c r="H57" s="14"/>
      <c r="I57" s="14"/>
      <c r="J57" s="14"/>
      <c r="K57" s="14"/>
      <c r="L57" s="14"/>
      <c r="M57" s="14"/>
      <c r="N57" s="14"/>
      <c r="O57" s="14"/>
      <c r="P57" s="14"/>
      <c r="Q57" s="14"/>
      <c r="R57" s="14"/>
      <c r="S57" s="14"/>
      <c r="T57" s="14"/>
      <c r="U57" s="14"/>
      <c r="V57" s="14"/>
      <c r="W57" s="14"/>
      <c r="X57" s="14"/>
      <c r="Y57" s="14"/>
    </row>
    <row r="58" spans="2:27" x14ac:dyDescent="0.35">
      <c r="B58" s="30" t="s">
        <v>231</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35">
      <c r="H59" s="14"/>
      <c r="I59" s="14"/>
      <c r="J59" s="14"/>
      <c r="K59" s="14"/>
      <c r="L59" s="14"/>
      <c r="M59" s="14"/>
      <c r="N59" s="14"/>
      <c r="O59" s="14"/>
      <c r="P59" s="14"/>
      <c r="Q59" s="14"/>
      <c r="R59" s="14"/>
      <c r="S59" s="14"/>
      <c r="T59" s="14"/>
      <c r="U59" s="14"/>
      <c r="V59" s="14"/>
      <c r="W59" s="14"/>
      <c r="X59" s="14"/>
      <c r="Y59" s="14"/>
    </row>
    <row r="60" spans="2:27" x14ac:dyDescent="0.35">
      <c r="E60" t="s">
        <v>883</v>
      </c>
      <c r="G60" s="6" t="s">
        <v>277</v>
      </c>
      <c r="H60" s="215"/>
      <c r="I60" s="14"/>
      <c r="J60" s="215">
        <f xml:space="preserve"> J50 + J54</f>
        <v>25978253.160218786</v>
      </c>
      <c r="K60" s="215">
        <f t="shared" ref="K60:Y60" si="7" xml:space="preserve"> K50 + K54</f>
        <v>0</v>
      </c>
      <c r="L60" s="215">
        <f t="shared" si="7"/>
        <v>13573.099831182457</v>
      </c>
      <c r="M60" s="215">
        <f t="shared" si="7"/>
        <v>0</v>
      </c>
      <c r="N60" s="215">
        <f t="shared" si="7"/>
        <v>1231.9281166077019</v>
      </c>
      <c r="O60" s="215">
        <f t="shared" si="7"/>
        <v>22.168980023882671</v>
      </c>
      <c r="P60" s="215">
        <f t="shared" si="7"/>
        <v>126.65748346993672</v>
      </c>
      <c r="Q60" s="215">
        <f t="shared" si="7"/>
        <v>0</v>
      </c>
      <c r="R60" s="215">
        <f t="shared" si="7"/>
        <v>0</v>
      </c>
      <c r="S60" s="215">
        <f t="shared" si="7"/>
        <v>0</v>
      </c>
      <c r="T60" s="215">
        <f t="shared" si="7"/>
        <v>0</v>
      </c>
      <c r="U60" s="215">
        <f t="shared" si="7"/>
        <v>0</v>
      </c>
      <c r="V60" s="215">
        <f t="shared" si="7"/>
        <v>0</v>
      </c>
      <c r="W60" s="215">
        <f t="shared" si="7"/>
        <v>0</v>
      </c>
      <c r="X60" s="215">
        <f t="shared" si="7"/>
        <v>0</v>
      </c>
      <c r="Y60" s="215">
        <f t="shared" si="7"/>
        <v>0</v>
      </c>
    </row>
    <row r="61" spans="2:27" x14ac:dyDescent="0.35">
      <c r="H61" s="14"/>
      <c r="I61" s="14"/>
      <c r="J61" s="14"/>
      <c r="K61" s="14"/>
      <c r="L61" s="14"/>
      <c r="M61" s="14"/>
      <c r="N61" s="14"/>
      <c r="O61" s="14"/>
      <c r="P61" s="14"/>
      <c r="Q61" s="14"/>
      <c r="R61" s="14"/>
      <c r="S61" s="14"/>
      <c r="T61" s="14"/>
      <c r="U61" s="14"/>
      <c r="V61" s="14"/>
      <c r="W61" s="14"/>
      <c r="X61" s="14"/>
      <c r="Y61" s="14"/>
    </row>
    <row r="62" spans="2:27" x14ac:dyDescent="0.35">
      <c r="E62" t="s">
        <v>884</v>
      </c>
      <c r="G62" s="6" t="s">
        <v>277</v>
      </c>
      <c r="H62" s="89">
        <f>SUM( J60:Y60 )</f>
        <v>25993207.014630072</v>
      </c>
      <c r="I62" s="14"/>
      <c r="J62" s="14"/>
      <c r="K62" s="14"/>
      <c r="L62" s="14"/>
      <c r="M62" s="14"/>
      <c r="N62" s="14"/>
      <c r="O62" s="14"/>
      <c r="P62" s="14"/>
      <c r="Q62" s="14"/>
      <c r="R62" s="14"/>
      <c r="S62" s="14"/>
      <c r="T62" s="14"/>
      <c r="U62" s="14"/>
      <c r="V62" s="14"/>
      <c r="W62" s="14"/>
      <c r="X62" s="14"/>
      <c r="Y62" s="14"/>
    </row>
    <row r="63" spans="2:27" x14ac:dyDescent="0.35">
      <c r="H63" s="14"/>
      <c r="I63" s="14"/>
      <c r="J63" s="14"/>
      <c r="K63" s="14"/>
      <c r="L63" s="14"/>
      <c r="M63" s="14"/>
      <c r="N63" s="14"/>
      <c r="O63" s="14"/>
      <c r="P63" s="14"/>
      <c r="Q63" s="14"/>
      <c r="R63" s="14"/>
      <c r="S63" s="14"/>
      <c r="T63" s="14"/>
      <c r="U63" s="14"/>
      <c r="V63" s="14"/>
      <c r="W63" s="14"/>
      <c r="X63" s="14"/>
      <c r="Y63" s="14"/>
    </row>
    <row r="64" spans="2:27" x14ac:dyDescent="0.35">
      <c r="E64" t="s">
        <v>885</v>
      </c>
      <c r="G64" s="6" t="s">
        <v>55</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35">
      <c r="H65" s="14"/>
      <c r="I65" s="14"/>
      <c r="J65" s="14"/>
      <c r="K65" s="14"/>
      <c r="L65" s="14"/>
      <c r="M65" s="14"/>
      <c r="N65" s="14"/>
      <c r="O65" s="14"/>
      <c r="P65" s="14"/>
      <c r="Q65" s="14"/>
      <c r="R65" s="14"/>
      <c r="S65" s="14"/>
      <c r="T65" s="14"/>
      <c r="U65" s="14"/>
      <c r="V65" s="14"/>
      <c r="W65" s="14"/>
      <c r="X65" s="14"/>
      <c r="Y65" s="14"/>
    </row>
    <row r="66" spans="2:27" x14ac:dyDescent="0.35">
      <c r="E66" t="s">
        <v>232</v>
      </c>
      <c r="G66" s="6" t="s">
        <v>55</v>
      </c>
      <c r="H66" s="103">
        <f t="array" ref="H66">SUM( IF( ISERROR( H20:Y57 ), 1 )) + H64</f>
        <v>0</v>
      </c>
      <c r="I66" s="14"/>
      <c r="J66" s="14"/>
      <c r="K66" s="14"/>
      <c r="L66" s="14"/>
      <c r="M66" s="14"/>
      <c r="N66" s="14"/>
      <c r="O66" s="14"/>
      <c r="P66" s="14"/>
      <c r="Q66" s="14"/>
      <c r="R66" s="14"/>
      <c r="S66" s="14"/>
      <c r="T66" s="14"/>
      <c r="U66" s="14"/>
      <c r="V66" s="14"/>
      <c r="W66" s="14"/>
      <c r="X66" s="14"/>
      <c r="Y66" s="14"/>
    </row>
    <row r="67" spans="2:27" x14ac:dyDescent="0.35">
      <c r="H67" s="14"/>
      <c r="I67" s="14"/>
      <c r="J67" s="14"/>
      <c r="K67" s="14"/>
      <c r="L67" s="14"/>
      <c r="M67" s="14"/>
      <c r="N67" s="14"/>
      <c r="O67" s="14"/>
      <c r="P67" s="14"/>
      <c r="Q67" s="14"/>
      <c r="R67" s="14"/>
      <c r="S67" s="14"/>
      <c r="T67" s="14"/>
      <c r="U67" s="14"/>
      <c r="V67" s="14"/>
      <c r="W67" s="14"/>
      <c r="X67" s="14"/>
      <c r="Y67" s="14"/>
    </row>
    <row r="68" spans="2:27" x14ac:dyDescent="0.35">
      <c r="B68" s="30" t="s">
        <v>106</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35">
      <c r="H69" s="14"/>
      <c r="I69" s="14"/>
      <c r="J69" s="14"/>
      <c r="K69" s="14"/>
      <c r="L69" s="14"/>
      <c r="M69" s="14"/>
      <c r="N69" s="14"/>
      <c r="O69" s="14"/>
      <c r="P69" s="14"/>
      <c r="Q69" s="14"/>
      <c r="R69" s="14"/>
      <c r="S69" s="14"/>
      <c r="T69" s="14"/>
      <c r="U69" s="14"/>
      <c r="V69" s="14"/>
      <c r="W69" s="14"/>
      <c r="X69" s="14"/>
      <c r="Y69" s="14"/>
    </row>
    <row r="70" spans="2:27" x14ac:dyDescent="0.35">
      <c r="H70" s="14"/>
      <c r="I70" s="14"/>
      <c r="J70" s="14"/>
      <c r="K70" s="14"/>
      <c r="L70" s="14"/>
      <c r="M70" s="14"/>
      <c r="N70" s="14"/>
      <c r="O70" s="14"/>
      <c r="P70" s="14"/>
      <c r="Q70" s="14"/>
      <c r="R70" s="14"/>
      <c r="S70" s="14"/>
      <c r="T70" s="14"/>
      <c r="U70" s="14"/>
      <c r="V70" s="14"/>
      <c r="W70" s="14"/>
      <c r="X70" s="14"/>
      <c r="Y70" s="14"/>
    </row>
    <row r="71" spans="2:27" x14ac:dyDescent="0.35">
      <c r="H71" s="14"/>
      <c r="I71" s="14"/>
      <c r="J71" s="14"/>
      <c r="K71" s="14"/>
      <c r="L71" s="14"/>
      <c r="M71" s="14"/>
      <c r="N71" s="14"/>
      <c r="O71" s="14"/>
      <c r="P71" s="14"/>
      <c r="Q71" s="14"/>
      <c r="R71" s="14"/>
      <c r="S71" s="14"/>
      <c r="T71" s="14"/>
      <c r="U71" s="14"/>
      <c r="V71" s="14"/>
      <c r="W71" s="14"/>
      <c r="X71" s="14"/>
      <c r="Y71" s="14"/>
    </row>
    <row r="72" spans="2:27" x14ac:dyDescent="0.35">
      <c r="H72" s="14"/>
      <c r="I72" s="14"/>
      <c r="J72" s="14"/>
      <c r="K72" s="14"/>
      <c r="L72" s="14"/>
      <c r="M72" s="14"/>
      <c r="N72" s="14"/>
      <c r="O72" s="14"/>
      <c r="P72" s="14"/>
      <c r="Q72" s="14"/>
      <c r="R72" s="14"/>
      <c r="S72" s="14"/>
      <c r="T72" s="14"/>
      <c r="U72" s="14"/>
      <c r="V72" s="14"/>
      <c r="W72" s="14"/>
      <c r="X72" s="14"/>
      <c r="Y72" s="14"/>
    </row>
    <row r="73" spans="2:27" x14ac:dyDescent="0.35">
      <c r="H73" s="14"/>
      <c r="I73" s="14"/>
      <c r="J73" s="14"/>
      <c r="K73" s="14"/>
      <c r="L73" s="14"/>
      <c r="M73" s="14"/>
      <c r="N73" s="14"/>
      <c r="O73" s="14"/>
      <c r="P73" s="14"/>
      <c r="Q73" s="14"/>
      <c r="R73" s="14"/>
      <c r="S73" s="14"/>
      <c r="T73" s="14"/>
      <c r="U73" s="14"/>
      <c r="V73" s="14"/>
      <c r="W73" s="14"/>
      <c r="X73" s="14"/>
      <c r="Y73" s="14"/>
    </row>
    <row r="74" spans="2:27" x14ac:dyDescent="0.35">
      <c r="H74" s="14"/>
      <c r="I74" s="14"/>
      <c r="J74" s="14"/>
      <c r="K74" s="14"/>
      <c r="L74" s="14"/>
      <c r="M74" s="14"/>
      <c r="N74" s="14"/>
      <c r="O74" s="14"/>
      <c r="P74" s="14"/>
      <c r="Q74" s="14"/>
      <c r="R74" s="14"/>
      <c r="S74" s="14"/>
      <c r="T74" s="14"/>
      <c r="U74" s="14"/>
      <c r="V74" s="14"/>
      <c r="W74" s="14"/>
      <c r="X74" s="14"/>
      <c r="Y74" s="14"/>
    </row>
    <row r="75" spans="2:27" x14ac:dyDescent="0.35">
      <c r="H75" s="14"/>
      <c r="I75" s="14"/>
      <c r="J75" s="14"/>
      <c r="K75" s="14"/>
      <c r="L75" s="14"/>
      <c r="M75" s="14"/>
      <c r="N75" s="14"/>
      <c r="O75" s="14"/>
      <c r="P75" s="14"/>
      <c r="Q75" s="14"/>
      <c r="R75" s="14"/>
      <c r="S75" s="14"/>
      <c r="T75" s="14"/>
      <c r="U75" s="14"/>
      <c r="V75" s="14"/>
      <c r="W75" s="14"/>
      <c r="X75" s="14"/>
      <c r="Y75" s="14"/>
    </row>
    <row r="76" spans="2:27" x14ac:dyDescent="0.3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A4:XFD4">
    <cfRule type="expression" dxfId="39" priority="3">
      <formula>LEFT($A$4,1) &lt;&gt; "0"</formula>
    </cfRule>
  </conditionalFormatting>
  <conditionalFormatting sqref="H64">
    <cfRule type="cellIs" dxfId="38" priority="2" operator="greaterThan">
      <formula>0</formula>
    </cfRule>
  </conditionalFormatting>
  <conditionalFormatting sqref="H66">
    <cfRule type="cellIs" dxfId="37"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429" width="24.54296875" hidden="1" customWidth="1"/>
    <col min="430" max="16384" width="8.54296875" hidden="1"/>
  </cols>
  <sheetData>
    <row r="1" spans="1:43" s="1" customFormat="1" x14ac:dyDescent="0.35">
      <c r="A1" s="1" t="str">
        <f ca="1">MID(CELL("filename",A1),FIND("]",CELL("filename",A1))+1,255)</f>
        <v>Revenue matching</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H432 &amp; IF(H432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60" t="s">
        <v>143</v>
      </c>
      <c r="H5" s="114" t="s">
        <v>144</v>
      </c>
      <c r="J5" s="114" t="s">
        <v>913</v>
      </c>
      <c r="K5" s="114" t="s">
        <v>831</v>
      </c>
      <c r="L5" s="114" t="s">
        <v>914</v>
      </c>
      <c r="M5" s="114" t="s">
        <v>915</v>
      </c>
      <c r="N5" s="114" t="s">
        <v>916</v>
      </c>
      <c r="O5" s="114" t="s">
        <v>917</v>
      </c>
      <c r="P5" s="114" t="s">
        <v>918</v>
      </c>
      <c r="Q5" s="114" t="s">
        <v>832</v>
      </c>
      <c r="R5" s="114" t="s">
        <v>919</v>
      </c>
      <c r="S5" s="114" t="s">
        <v>920</v>
      </c>
      <c r="T5" s="114" t="s">
        <v>921</v>
      </c>
      <c r="U5" s="114" t="s">
        <v>922</v>
      </c>
      <c r="V5" s="114" t="s">
        <v>923</v>
      </c>
      <c r="W5" s="114" t="s">
        <v>924</v>
      </c>
      <c r="X5" s="114" t="s">
        <v>925</v>
      </c>
      <c r="Y5" s="114" t="s">
        <v>926</v>
      </c>
      <c r="Z5" s="114" t="s">
        <v>927</v>
      </c>
      <c r="AA5" s="114" t="s">
        <v>928</v>
      </c>
      <c r="AB5" s="114" t="s">
        <v>929</v>
      </c>
      <c r="AC5" s="114" t="s">
        <v>930</v>
      </c>
      <c r="AD5" s="114" t="s">
        <v>931</v>
      </c>
      <c r="AE5" s="114" t="s">
        <v>932</v>
      </c>
      <c r="AF5" s="114" t="s">
        <v>933</v>
      </c>
      <c r="AG5" s="114" t="s">
        <v>841</v>
      </c>
      <c r="AH5" s="114" t="s">
        <v>833</v>
      </c>
      <c r="AI5" s="114" t="s">
        <v>834</v>
      </c>
      <c r="AJ5" s="114" t="s">
        <v>835</v>
      </c>
      <c r="AK5" s="114" t="s">
        <v>844</v>
      </c>
      <c r="AL5" s="114" t="s">
        <v>836</v>
      </c>
      <c r="AM5" s="114" t="s">
        <v>843</v>
      </c>
      <c r="AN5" s="114" t="s">
        <v>837</v>
      </c>
      <c r="AO5" s="114" t="s">
        <v>842</v>
      </c>
      <c r="AQ5" s="61" t="s">
        <v>145</v>
      </c>
    </row>
    <row r="6" spans="1:43" x14ac:dyDescent="0.35">
      <c r="C6" s="88"/>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105"/>
      <c r="AQ7" s="105"/>
    </row>
    <row r="9" spans="1:43" x14ac:dyDescent="0.35">
      <c r="D9" s="29" t="s">
        <v>730</v>
      </c>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O9" s="181"/>
    </row>
    <row r="10" spans="1:43" x14ac:dyDescent="0.35">
      <c r="D10" s="29" t="s">
        <v>731</v>
      </c>
      <c r="E10"/>
    </row>
    <row r="11" spans="1:43" x14ac:dyDescent="0.35">
      <c r="D11" s="29" t="s">
        <v>732</v>
      </c>
    </row>
    <row r="13" spans="1:43" x14ac:dyDescent="0.35">
      <c r="B13" s="30" t="s">
        <v>733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105"/>
      <c r="AQ13" s="105"/>
    </row>
    <row r="14" spans="1:43" x14ac:dyDescent="0.35">
      <c r="C14" s="88"/>
    </row>
    <row r="15" spans="1:43" x14ac:dyDescent="0.35">
      <c r="C15" s="31" t="str">
        <f ca="1">INDEX('Version control'!$H$34:$H$57,MATCH($A$1,'Version control'!$F$34:$F$57,0),1)&amp;"-A: Inputs to revenue matching"</f>
        <v>Section 116-A: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x14ac:dyDescent="0.3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3" x14ac:dyDescent="0.35">
      <c r="D17" s="29" t="s">
        <v>1033</v>
      </c>
      <c r="F17" s="2"/>
    </row>
    <row r="18" spans="1:43" x14ac:dyDescent="0.35">
      <c r="D18" s="88"/>
      <c r="F18" s="2"/>
    </row>
    <row r="19" spans="1:43" ht="43.5" x14ac:dyDescent="0.35">
      <c r="D19"/>
      <c r="E19" s="32" t="s">
        <v>734</v>
      </c>
      <c r="F19" s="32"/>
      <c r="J19" s="236" t="s">
        <v>829</v>
      </c>
      <c r="K19" s="236" t="s">
        <v>831</v>
      </c>
      <c r="L19" s="236" t="s">
        <v>830</v>
      </c>
      <c r="M19" s="236" t="s">
        <v>832</v>
      </c>
      <c r="N19" s="236" t="s">
        <v>838</v>
      </c>
      <c r="O19" s="236" t="s">
        <v>839</v>
      </c>
      <c r="P19" s="236" t="s">
        <v>840</v>
      </c>
      <c r="Q19" s="236" t="s">
        <v>841</v>
      </c>
      <c r="R19" s="236" t="s">
        <v>833</v>
      </c>
      <c r="S19" s="236" t="s">
        <v>834</v>
      </c>
      <c r="T19" s="236" t="s">
        <v>835</v>
      </c>
      <c r="U19" s="236" t="s">
        <v>844</v>
      </c>
      <c r="V19" s="236" t="s">
        <v>836</v>
      </c>
      <c r="W19" s="236" t="s">
        <v>843</v>
      </c>
      <c r="X19" s="236" t="s">
        <v>837</v>
      </c>
      <c r="Y19" s="236" t="s">
        <v>842</v>
      </c>
      <c r="Z19" s="163"/>
      <c r="AA19" s="163"/>
      <c r="AB19" s="163"/>
      <c r="AC19" s="163"/>
      <c r="AD19" s="163"/>
      <c r="AE19" s="163"/>
      <c r="AF19" s="163"/>
      <c r="AG19" s="163"/>
      <c r="AH19" s="163"/>
      <c r="AI19" s="163"/>
      <c r="AJ19" s="163"/>
      <c r="AK19" s="163"/>
      <c r="AL19" s="163"/>
      <c r="AM19" s="163"/>
      <c r="AN19" s="163"/>
      <c r="AO19" s="163"/>
    </row>
    <row r="20" spans="1:43" x14ac:dyDescent="0.35">
      <c r="D20"/>
      <c r="E20" s="88"/>
      <c r="F20" s="23" t="s">
        <v>156</v>
      </c>
      <c r="G20" s="23" t="s">
        <v>269</v>
      </c>
      <c r="H20" s="266"/>
      <c r="I20" s="266"/>
      <c r="J20" s="278">
        <f>'Unit rate charges'!J217</f>
        <v>8.7578868905519336</v>
      </c>
      <c r="K20" s="278">
        <f>'Unit rate charges'!K217</f>
        <v>8.7578868905519336</v>
      </c>
      <c r="L20" s="278">
        <f>'Unit rate charges'!L217</f>
        <v>10.049981004930144</v>
      </c>
      <c r="M20" s="278">
        <f>'Unit rate charges'!M217</f>
        <v>10.049981004930144</v>
      </c>
      <c r="N20" s="278">
        <f>'Unit rate charges'!N217</f>
        <v>7.2439851323805975</v>
      </c>
      <c r="O20" s="278">
        <f>'Unit rate charges'!O217</f>
        <v>3.7452920159350667</v>
      </c>
      <c r="P20" s="278">
        <f>'Unit rate charges'!P217</f>
        <v>2.6202382291421182</v>
      </c>
      <c r="Q20" s="278">
        <f>'Unit rate charges'!Q217</f>
        <v>16.503324119079796</v>
      </c>
      <c r="R20" s="278">
        <f>'Unit rate charges'!R217</f>
        <v>-6.7703858572355928</v>
      </c>
      <c r="S20" s="278">
        <f>'Unit rate charges'!S217</f>
        <v>-6.0634483873977167</v>
      </c>
      <c r="T20" s="278">
        <f>'Unit rate charges'!T217</f>
        <v>-6.7703858572355928</v>
      </c>
      <c r="U20" s="278">
        <f>'Unit rate charges'!U217</f>
        <v>-6.7703858572355928</v>
      </c>
      <c r="V20" s="278">
        <f>'Unit rate charges'!V217</f>
        <v>-6.0634483873977167</v>
      </c>
      <c r="W20" s="278">
        <f>'Unit rate charges'!W217</f>
        <v>-6.0634483873977167</v>
      </c>
      <c r="X20" s="278">
        <f>'Unit rate charges'!X217</f>
        <v>-3.3990502940098173</v>
      </c>
      <c r="Y20" s="278">
        <f>'Unit rate charges'!Y217</f>
        <v>-3.3990502940098173</v>
      </c>
      <c r="Z20" s="163"/>
      <c r="AA20" s="163"/>
      <c r="AB20" s="163"/>
      <c r="AC20" s="163"/>
      <c r="AD20" s="163"/>
      <c r="AE20" s="163"/>
      <c r="AF20" s="163"/>
      <c r="AG20" s="163"/>
      <c r="AH20" s="163"/>
      <c r="AI20" s="163"/>
      <c r="AJ20" s="163"/>
      <c r="AK20" s="163"/>
      <c r="AL20" s="163"/>
      <c r="AM20" s="163"/>
      <c r="AN20" s="163"/>
      <c r="AO20" s="163"/>
      <c r="AP20" s="267"/>
      <c r="AQ20" s="267"/>
    </row>
    <row r="21" spans="1:43" x14ac:dyDescent="0.35">
      <c r="D21"/>
      <c r="E21" s="88"/>
      <c r="F21" t="s">
        <v>157</v>
      </c>
      <c r="G21" t="s">
        <v>269</v>
      </c>
      <c r="H21" s="267"/>
      <c r="I21" s="267"/>
      <c r="J21" s="342">
        <f>'Unit rate charges'!J218</f>
        <v>1.8206397762951982</v>
      </c>
      <c r="K21" s="342">
        <f>'Unit rate charges'!K218</f>
        <v>1.8206397762951982</v>
      </c>
      <c r="L21" s="342">
        <f>'Unit rate charges'!L218</f>
        <v>2.089247714346067</v>
      </c>
      <c r="M21" s="342">
        <f>'Unit rate charges'!M218</f>
        <v>2.089247714346067</v>
      </c>
      <c r="N21" s="342">
        <f>'Unit rate charges'!N218</f>
        <v>1.4663018872883582</v>
      </c>
      <c r="O21" s="342">
        <f>'Unit rate charges'!O218</f>
        <v>0.67783233276690069</v>
      </c>
      <c r="P21" s="342">
        <f>'Unit rate charges'!P218</f>
        <v>0.45455208805206132</v>
      </c>
      <c r="Q21" s="342">
        <f>'Unit rate charges'!Q218</f>
        <v>3.9793044925326262</v>
      </c>
      <c r="R21" s="342">
        <f>'Unit rate charges'!R218</f>
        <v>-1.4074666579500381</v>
      </c>
      <c r="S21" s="342">
        <f>'Unit rate charges'!S218</f>
        <v>-1.2460008567520371</v>
      </c>
      <c r="T21" s="342">
        <f>'Unit rate charges'!T218</f>
        <v>-1.4074666579500381</v>
      </c>
      <c r="U21" s="342">
        <f>'Unit rate charges'!U218</f>
        <v>-1.4074666579500381</v>
      </c>
      <c r="V21" s="342">
        <f>'Unit rate charges'!V218</f>
        <v>-1.2460008567520371</v>
      </c>
      <c r="W21" s="342">
        <f>'Unit rate charges'!W218</f>
        <v>-1.2460008567520371</v>
      </c>
      <c r="X21" s="342">
        <f>'Unit rate charges'!X218</f>
        <v>-0.61509915250322988</v>
      </c>
      <c r="Y21" s="342">
        <f>'Unit rate charges'!Y218</f>
        <v>-0.61509915250322988</v>
      </c>
      <c r="Z21" s="163"/>
      <c r="AA21" s="163"/>
      <c r="AB21" s="163"/>
      <c r="AC21" s="163"/>
      <c r="AD21" s="163"/>
      <c r="AE21" s="163"/>
      <c r="AF21" s="163"/>
      <c r="AG21" s="163"/>
      <c r="AH21" s="163"/>
      <c r="AI21" s="163"/>
      <c r="AJ21" s="163"/>
      <c r="AK21" s="163"/>
      <c r="AL21" s="163"/>
      <c r="AM21" s="163"/>
      <c r="AN21" s="163"/>
      <c r="AO21" s="163"/>
      <c r="AP21" s="267"/>
      <c r="AQ21" s="267"/>
    </row>
    <row r="22" spans="1:43" x14ac:dyDescent="0.35">
      <c r="D22"/>
      <c r="E22" s="88"/>
      <c r="F22" t="s">
        <v>158</v>
      </c>
      <c r="G22" t="s">
        <v>269</v>
      </c>
      <c r="H22" s="267"/>
      <c r="I22" s="267"/>
      <c r="J22" s="342">
        <f>'Unit rate charges'!J219</f>
        <v>0.63370675863757786</v>
      </c>
      <c r="K22" s="342">
        <f>'Unit rate charges'!K219</f>
        <v>0.63370675863757786</v>
      </c>
      <c r="L22" s="342">
        <f>'Unit rate charges'!L219</f>
        <v>0.72720063259485002</v>
      </c>
      <c r="M22" s="342">
        <f>'Unit rate charges'!M219</f>
        <v>0.72720063259485002</v>
      </c>
      <c r="N22" s="342">
        <f>'Unit rate charges'!N219</f>
        <v>0.51447803021364991</v>
      </c>
      <c r="O22" s="342">
        <f>'Unit rate charges'!O219</f>
        <v>0.24637179623668531</v>
      </c>
      <c r="P22" s="342">
        <f>'Unit rate charges'!P219</f>
        <v>0.1764399618541925</v>
      </c>
      <c r="Q22" s="342">
        <f>'Unit rate charges'!Q219</f>
        <v>3.0121395815112382</v>
      </c>
      <c r="R22" s="342">
        <f>'Unit rate charges'!R219</f>
        <v>-0.48989434665375964</v>
      </c>
      <c r="S22" s="342">
        <f>'Unit rate charges'!S219</f>
        <v>-0.43519597745109795</v>
      </c>
      <c r="T22" s="342">
        <f>'Unit rate charges'!T219</f>
        <v>-0.48989434665375964</v>
      </c>
      <c r="U22" s="342">
        <f>'Unit rate charges'!U219</f>
        <v>-0.48989434665375964</v>
      </c>
      <c r="V22" s="342">
        <f>'Unit rate charges'!V219</f>
        <v>-0.43519597745109795</v>
      </c>
      <c r="W22" s="342">
        <f>'Unit rate charges'!W219</f>
        <v>-0.43519597745109795</v>
      </c>
      <c r="X22" s="342">
        <f>'Unit rate charges'!X219</f>
        <v>-0.22360981889651921</v>
      </c>
      <c r="Y22" s="342">
        <f>'Unit rate charges'!Y219</f>
        <v>-0.22360981889651921</v>
      </c>
      <c r="Z22" s="163"/>
      <c r="AA22" s="163"/>
      <c r="AB22" s="163"/>
      <c r="AC22" s="163"/>
      <c r="AD22" s="163"/>
      <c r="AE22" s="163"/>
      <c r="AF22" s="163"/>
      <c r="AG22" s="163"/>
      <c r="AH22" s="163"/>
      <c r="AI22" s="163"/>
      <c r="AJ22" s="163"/>
      <c r="AK22" s="163"/>
      <c r="AL22" s="163"/>
      <c r="AM22" s="163"/>
      <c r="AN22" s="163"/>
      <c r="AO22" s="163"/>
      <c r="AP22" s="267"/>
      <c r="AQ22" s="267"/>
    </row>
    <row r="23" spans="1:43" x14ac:dyDescent="0.35">
      <c r="D23"/>
      <c r="E23" s="88"/>
      <c r="F23" t="s">
        <v>159</v>
      </c>
      <c r="G23" t="s">
        <v>270</v>
      </c>
      <c r="J23" s="124">
        <f>'Fixed charges'!J161</f>
        <v>7.2414353933991542</v>
      </c>
      <c r="K23" s="124">
        <f>'Fixed charges'!K161</f>
        <v>0</v>
      </c>
      <c r="L23" s="124">
        <f>'Fixed charges'!L161</f>
        <v>10.32111579724789</v>
      </c>
      <c r="M23" s="124">
        <f>'Fixed charges'!M161</f>
        <v>0</v>
      </c>
      <c r="N23" s="124">
        <f>'Fixed charges'!N161</f>
        <v>27.1234520849282</v>
      </c>
      <c r="O23" s="124">
        <f>'Fixed charges'!O161</f>
        <v>63.777155343839667</v>
      </c>
      <c r="P23" s="124">
        <f>'Fixed charges'!P161</f>
        <v>322.05936254955475</v>
      </c>
      <c r="Q23" s="124">
        <f>'Fixed charges'!Q161</f>
        <v>0</v>
      </c>
      <c r="R23" s="124">
        <f>'Fixed charges'!R161</f>
        <v>0</v>
      </c>
      <c r="S23" s="124">
        <f>'Fixed charges'!S161</f>
        <v>0</v>
      </c>
      <c r="T23" s="124">
        <f>'Fixed charges'!T161</f>
        <v>0</v>
      </c>
      <c r="U23" s="124">
        <f>'Fixed charges'!U161</f>
        <v>0</v>
      </c>
      <c r="V23" s="124">
        <f>'Fixed charges'!V161</f>
        <v>0</v>
      </c>
      <c r="W23" s="124">
        <f>'Fixed charges'!W161</f>
        <v>0</v>
      </c>
      <c r="X23" s="124">
        <f>'Fixed charges'!X161</f>
        <v>526.69511172822524</v>
      </c>
      <c r="Y23" s="124">
        <f>'Fixed charges'!Y161</f>
        <v>526.69511172822524</v>
      </c>
      <c r="Z23" s="163"/>
      <c r="AA23" s="163"/>
      <c r="AB23" s="163"/>
      <c r="AC23" s="163"/>
      <c r="AD23" s="163"/>
      <c r="AE23" s="163"/>
      <c r="AF23" s="163"/>
      <c r="AG23" s="163"/>
      <c r="AH23" s="163"/>
      <c r="AI23" s="163"/>
      <c r="AJ23" s="163"/>
      <c r="AK23" s="163"/>
      <c r="AL23" s="163"/>
      <c r="AM23" s="163"/>
      <c r="AN23" s="163"/>
      <c r="AO23" s="163"/>
    </row>
    <row r="24" spans="1:43" x14ac:dyDescent="0.35">
      <c r="D24"/>
      <c r="E24" s="88"/>
      <c r="F24" t="s">
        <v>160</v>
      </c>
      <c r="G24" t="s">
        <v>271</v>
      </c>
      <c r="J24" s="124">
        <f>'Capacity charges'!J256</f>
        <v>0</v>
      </c>
      <c r="K24" s="124">
        <f>'Capacity charges'!K256</f>
        <v>0</v>
      </c>
      <c r="L24" s="124">
        <f>'Capacity charges'!L256</f>
        <v>0</v>
      </c>
      <c r="M24" s="124">
        <f>'Capacity charges'!M256</f>
        <v>0</v>
      </c>
      <c r="N24" s="124">
        <f>'Capacity charges'!N256</f>
        <v>5.4456927810994635</v>
      </c>
      <c r="O24" s="124">
        <f>'Capacity charges'!O256</f>
        <v>8.6286268818898275</v>
      </c>
      <c r="P24" s="124">
        <f>'Capacity charges'!P256</f>
        <v>11.66095176944162</v>
      </c>
      <c r="Q24" s="124">
        <f>'Capacity charges'!Q256</f>
        <v>0</v>
      </c>
      <c r="R24" s="124">
        <f>'Capacity charges'!R256</f>
        <v>0</v>
      </c>
      <c r="S24" s="124">
        <f>'Capacity charges'!S256</f>
        <v>0</v>
      </c>
      <c r="T24" s="124">
        <f>'Capacity charges'!T256</f>
        <v>0</v>
      </c>
      <c r="U24" s="124">
        <f>'Capacity charges'!U256</f>
        <v>0</v>
      </c>
      <c r="V24" s="124">
        <f>'Capacity charges'!V256</f>
        <v>0</v>
      </c>
      <c r="W24" s="124">
        <f>'Capacity charges'!W256</f>
        <v>0</v>
      </c>
      <c r="X24" s="124">
        <f>'Capacity charges'!X256</f>
        <v>0</v>
      </c>
      <c r="Y24" s="124">
        <f>'Capacity charges'!Y256</f>
        <v>0</v>
      </c>
      <c r="Z24" s="163"/>
      <c r="AA24" s="163"/>
      <c r="AB24" s="163"/>
      <c r="AC24" s="163"/>
      <c r="AD24" s="163"/>
      <c r="AE24" s="163"/>
      <c r="AF24" s="163"/>
      <c r="AG24" s="163"/>
      <c r="AH24" s="163"/>
      <c r="AI24" s="163"/>
      <c r="AJ24" s="163"/>
      <c r="AK24" s="163"/>
      <c r="AL24" s="163"/>
      <c r="AM24" s="163"/>
      <c r="AN24" s="163"/>
      <c r="AO24" s="163"/>
    </row>
    <row r="25" spans="1:43" x14ac:dyDescent="0.35">
      <c r="D25"/>
      <c r="E25" s="88"/>
      <c r="F25" t="s">
        <v>161</v>
      </c>
      <c r="G25" t="s">
        <v>271</v>
      </c>
      <c r="J25" s="125">
        <f>'Capacity charges'!J257</f>
        <v>0</v>
      </c>
      <c r="K25" s="125">
        <f>'Capacity charges'!K257</f>
        <v>0</v>
      </c>
      <c r="L25" s="125">
        <f>'Capacity charges'!L257</f>
        <v>0</v>
      </c>
      <c r="M25" s="125">
        <f>'Capacity charges'!M257</f>
        <v>0</v>
      </c>
      <c r="N25" s="125">
        <f>'Capacity charges'!N257</f>
        <v>9.5225717204209275</v>
      </c>
      <c r="O25" s="125">
        <f>'Capacity charges'!O257</f>
        <v>11.683618977303782</v>
      </c>
      <c r="P25" s="125">
        <f>'Capacity charges'!P257</f>
        <v>13.569478191552264</v>
      </c>
      <c r="Q25" s="125">
        <f>'Capacity charges'!Q257</f>
        <v>0</v>
      </c>
      <c r="R25" s="125">
        <f>'Capacity charges'!R257</f>
        <v>0</v>
      </c>
      <c r="S25" s="125">
        <f>'Capacity charges'!S257</f>
        <v>0</v>
      </c>
      <c r="T25" s="125">
        <f>'Capacity charges'!T257</f>
        <v>0</v>
      </c>
      <c r="U25" s="125">
        <f>'Capacity charges'!U257</f>
        <v>0</v>
      </c>
      <c r="V25" s="125">
        <f>'Capacity charges'!V257</f>
        <v>0</v>
      </c>
      <c r="W25" s="125">
        <f>'Capacity charges'!W257</f>
        <v>0</v>
      </c>
      <c r="X25" s="125">
        <f>'Capacity charges'!X257</f>
        <v>0</v>
      </c>
      <c r="Y25" s="125">
        <f>'Capacity charges'!Y257</f>
        <v>0</v>
      </c>
      <c r="Z25" s="163"/>
      <c r="AA25" s="163"/>
      <c r="AB25" s="163"/>
      <c r="AC25" s="163"/>
      <c r="AD25" s="163"/>
      <c r="AE25" s="163"/>
      <c r="AF25" s="163"/>
      <c r="AG25" s="163"/>
      <c r="AH25" s="163"/>
      <c r="AI25" s="163"/>
      <c r="AJ25" s="163"/>
      <c r="AK25" s="163"/>
      <c r="AL25" s="163"/>
      <c r="AM25" s="163"/>
      <c r="AN25" s="163"/>
      <c r="AO25" s="163"/>
    </row>
    <row r="26" spans="1:43" x14ac:dyDescent="0.35">
      <c r="D26"/>
      <c r="E26" s="88"/>
      <c r="F26" s="37" t="s">
        <v>162</v>
      </c>
      <c r="G26" s="37" t="s">
        <v>272</v>
      </c>
      <c r="H26" s="269"/>
      <c r="I26" s="269"/>
      <c r="J26" s="283">
        <f>'Reactive power charges'!J250</f>
        <v>0</v>
      </c>
      <c r="K26" s="283">
        <f>'Reactive power charges'!K250</f>
        <v>0</v>
      </c>
      <c r="L26" s="283">
        <f>'Reactive power charges'!L250</f>
        <v>0</v>
      </c>
      <c r="M26" s="283">
        <f>'Reactive power charges'!M250</f>
        <v>0</v>
      </c>
      <c r="N26" s="283">
        <f>'Reactive power charges'!N250</f>
        <v>0.29016585626188895</v>
      </c>
      <c r="O26" s="283">
        <f>'Reactive power charges'!O250</f>
        <v>0.13734796865901858</v>
      </c>
      <c r="P26" s="283">
        <f>'Reactive power charges'!P250</f>
        <v>9.3179203276517297E-2</v>
      </c>
      <c r="Q26" s="283">
        <f>'Reactive power charges'!Q250</f>
        <v>0</v>
      </c>
      <c r="R26" s="283">
        <f>'Reactive power charges'!R250</f>
        <v>0</v>
      </c>
      <c r="S26" s="283">
        <f>'Reactive power charges'!S250</f>
        <v>0</v>
      </c>
      <c r="T26" s="283">
        <f>'Reactive power charges'!T250</f>
        <v>0.28408916936135709</v>
      </c>
      <c r="U26" s="283">
        <f>'Reactive power charges'!U250</f>
        <v>0</v>
      </c>
      <c r="V26" s="283">
        <f>'Reactive power charges'!V250</f>
        <v>0.23757355377153469</v>
      </c>
      <c r="W26" s="283">
        <f>'Reactive power charges'!W250</f>
        <v>0</v>
      </c>
      <c r="X26" s="283">
        <f>'Reactive power charges'!X250</f>
        <v>0.21638006796957138</v>
      </c>
      <c r="Y26" s="283">
        <f>'Reactive power charges'!Y250</f>
        <v>0</v>
      </c>
      <c r="Z26" s="163"/>
      <c r="AA26" s="163"/>
      <c r="AB26" s="163"/>
      <c r="AC26" s="163"/>
      <c r="AD26" s="163"/>
      <c r="AE26" s="163"/>
      <c r="AF26" s="163"/>
      <c r="AG26" s="163"/>
      <c r="AH26" s="163"/>
      <c r="AI26" s="163"/>
      <c r="AJ26" s="163"/>
      <c r="AK26" s="163"/>
      <c r="AL26" s="163"/>
      <c r="AM26" s="163"/>
      <c r="AN26" s="163"/>
      <c r="AO26" s="163"/>
      <c r="AP26" s="267"/>
      <c r="AQ26" s="267"/>
    </row>
    <row r="27" spans="1:43" x14ac:dyDescent="0.35">
      <c r="D27"/>
      <c r="E27" s="88"/>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3" ht="43.5" x14ac:dyDescent="0.35">
      <c r="D28"/>
      <c r="E28" s="88"/>
      <c r="J28" s="236" t="s">
        <v>829</v>
      </c>
      <c r="K28" s="236" t="s">
        <v>831</v>
      </c>
      <c r="L28" s="236" t="s">
        <v>830</v>
      </c>
      <c r="M28" s="236" t="s">
        <v>832</v>
      </c>
      <c r="N28" s="236" t="s">
        <v>838</v>
      </c>
      <c r="O28" s="236" t="s">
        <v>839</v>
      </c>
      <c r="P28" s="236" t="s">
        <v>840</v>
      </c>
      <c r="Q28" s="236" t="s">
        <v>841</v>
      </c>
      <c r="R28" s="236" t="s">
        <v>833</v>
      </c>
      <c r="S28" s="236" t="s">
        <v>834</v>
      </c>
      <c r="T28" s="236" t="s">
        <v>835</v>
      </c>
      <c r="U28" s="236" t="s">
        <v>844</v>
      </c>
      <c r="V28" s="236" t="s">
        <v>836</v>
      </c>
      <c r="W28" s="236" t="s">
        <v>843</v>
      </c>
      <c r="X28" s="236" t="s">
        <v>837</v>
      </c>
      <c r="Y28" s="236" t="s">
        <v>842</v>
      </c>
      <c r="Z28" s="163"/>
      <c r="AA28" s="163"/>
      <c r="AB28" s="163"/>
      <c r="AC28" s="163"/>
      <c r="AD28" s="163"/>
      <c r="AE28" s="163"/>
      <c r="AF28" s="163"/>
      <c r="AG28" s="163"/>
      <c r="AH28" s="163"/>
      <c r="AI28" s="163"/>
      <c r="AJ28" s="163"/>
      <c r="AK28" s="163"/>
      <c r="AL28" s="163"/>
      <c r="AM28" s="163"/>
      <c r="AN28" s="163"/>
      <c r="AO28" s="163"/>
    </row>
    <row r="29" spans="1:43" x14ac:dyDescent="0.35">
      <c r="D29"/>
      <c r="E29" s="28" t="s">
        <v>877</v>
      </c>
      <c r="F29" s="333"/>
      <c r="G29" t="s">
        <v>270</v>
      </c>
      <c r="J29" s="339">
        <f>'SoLR &amp; bad debt adders'!J46</f>
        <v>9.9225903612093305</v>
      </c>
      <c r="K29" s="339">
        <f>'SoLR &amp; bad debt adders'!K46</f>
        <v>0</v>
      </c>
      <c r="L29" s="339">
        <f>'SoLR &amp; bad debt adders'!L46</f>
        <v>4.9696068210495895E-2</v>
      </c>
      <c r="M29" s="339">
        <f>'SoLR &amp; bad debt adders'!M46</f>
        <v>0</v>
      </c>
      <c r="N29" s="339">
        <f>'SoLR &amp; bad debt adders'!N46</f>
        <v>4.9696068210495895E-2</v>
      </c>
      <c r="O29" s="339">
        <f>'SoLR &amp; bad debt adders'!O46</f>
        <v>4.9696068210495895E-2</v>
      </c>
      <c r="P29" s="339">
        <f>'SoLR &amp; bad debt adders'!P46</f>
        <v>4.9696068210495895E-2</v>
      </c>
      <c r="Q29" s="339">
        <f>'SoLR &amp; bad debt adders'!Q46</f>
        <v>0</v>
      </c>
      <c r="R29" s="339">
        <f>'SoLR &amp; bad debt adders'!R46</f>
        <v>0</v>
      </c>
      <c r="S29" s="339">
        <f>'SoLR &amp; bad debt adders'!S46</f>
        <v>0</v>
      </c>
      <c r="T29" s="339">
        <f>'SoLR &amp; bad debt adders'!T46</f>
        <v>0</v>
      </c>
      <c r="U29" s="339">
        <f>'SoLR &amp; bad debt adders'!U46</f>
        <v>0</v>
      </c>
      <c r="V29" s="339">
        <f>'SoLR &amp; bad debt adders'!V46</f>
        <v>0</v>
      </c>
      <c r="W29" s="339">
        <f>'SoLR &amp; bad debt adders'!W46</f>
        <v>0</v>
      </c>
      <c r="X29" s="339">
        <f>'SoLR &amp; bad debt adders'!X46</f>
        <v>0</v>
      </c>
      <c r="Y29" s="339">
        <f>'SoLR &amp; bad debt adders'!Y46</f>
        <v>0</v>
      </c>
      <c r="Z29" s="163"/>
      <c r="AA29" s="163"/>
      <c r="AB29" s="163"/>
      <c r="AC29" s="163"/>
      <c r="AD29" s="163"/>
      <c r="AE29" s="163"/>
      <c r="AF29" s="163"/>
      <c r="AG29" s="163"/>
      <c r="AH29" s="163"/>
      <c r="AI29" s="163"/>
      <c r="AJ29" s="163"/>
      <c r="AK29" s="163"/>
      <c r="AL29" s="163"/>
      <c r="AM29" s="163"/>
      <c r="AN29" s="163"/>
      <c r="AO29" s="163"/>
    </row>
    <row r="30" spans="1:43" x14ac:dyDescent="0.35">
      <c r="D30"/>
      <c r="E30" s="88"/>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row>
    <row r="31" spans="1:43" x14ac:dyDescent="0.35">
      <c r="A31" s="320"/>
      <c r="D31"/>
      <c r="E31" s="379" t="str">
        <f>'Fixed inputs'!E163</f>
        <v>Flags for calculation of revenue matching</v>
      </c>
    </row>
    <row r="32" spans="1:43" x14ac:dyDescent="0.35">
      <c r="A32" s="320"/>
      <c r="C32" s="29"/>
      <c r="F32" s="431" t="s">
        <v>935</v>
      </c>
      <c r="G32" s="23" t="s">
        <v>912</v>
      </c>
      <c r="H32" s="23"/>
      <c r="I32" s="23"/>
      <c r="J32" s="147" t="b">
        <f>'Fixed inputs'!J164</f>
        <v>1</v>
      </c>
      <c r="K32" s="147" t="b">
        <f>'Fixed inputs'!K164</f>
        <v>0</v>
      </c>
      <c r="L32" s="147" t="b">
        <f>'Fixed inputs'!L164</f>
        <v>0</v>
      </c>
      <c r="M32" s="147" t="b">
        <f>'Fixed inputs'!M164</f>
        <v>1</v>
      </c>
      <c r="N32" s="147" t="b">
        <f>'Fixed inputs'!N164</f>
        <v>1</v>
      </c>
      <c r="O32" s="147" t="b">
        <f>'Fixed inputs'!O164</f>
        <v>1</v>
      </c>
      <c r="P32" s="147" t="b">
        <f>'Fixed inputs'!P164</f>
        <v>1</v>
      </c>
      <c r="Q32" s="147" t="b">
        <f>'Fixed inputs'!Q164</f>
        <v>0</v>
      </c>
      <c r="R32" s="147" t="b">
        <f>'Fixed inputs'!R164</f>
        <v>0</v>
      </c>
      <c r="S32" s="147" t="b">
        <f>'Fixed inputs'!S164</f>
        <v>1</v>
      </c>
      <c r="T32" s="147" t="b">
        <f>'Fixed inputs'!T164</f>
        <v>1</v>
      </c>
      <c r="U32" s="147" t="b">
        <f>'Fixed inputs'!U164</f>
        <v>1</v>
      </c>
      <c r="V32" s="147" t="b">
        <f>'Fixed inputs'!V164</f>
        <v>1</v>
      </c>
      <c r="W32" s="147" t="b">
        <f>'Fixed inputs'!W164</f>
        <v>0</v>
      </c>
      <c r="X32" s="147" t="b">
        <f>'Fixed inputs'!X164</f>
        <v>1</v>
      </c>
      <c r="Y32" s="147" t="b">
        <f>'Fixed inputs'!Y164</f>
        <v>1</v>
      </c>
      <c r="Z32" s="147" t="b">
        <f>'Fixed inputs'!Z164</f>
        <v>1</v>
      </c>
      <c r="AA32" s="147" t="b">
        <f>'Fixed inputs'!AA164</f>
        <v>1</v>
      </c>
      <c r="AB32" s="147" t="b">
        <f>'Fixed inputs'!AB164</f>
        <v>0</v>
      </c>
      <c r="AC32" s="147" t="b">
        <f>'Fixed inputs'!AC164</f>
        <v>1</v>
      </c>
      <c r="AD32" s="147" t="b">
        <f>'Fixed inputs'!AD164</f>
        <v>1</v>
      </c>
      <c r="AE32" s="147" t="b">
        <f>'Fixed inputs'!AE164</f>
        <v>1</v>
      </c>
      <c r="AF32" s="147" t="b">
        <f>'Fixed inputs'!AF164</f>
        <v>1</v>
      </c>
      <c r="AG32" s="147" t="b">
        <f>'Fixed inputs'!AG164</f>
        <v>1</v>
      </c>
      <c r="AH32" s="147" t="b">
        <f>'Fixed inputs'!AH164</f>
        <v>0</v>
      </c>
      <c r="AI32" s="147" t="b">
        <f>'Fixed inputs'!AI164</f>
        <v>0</v>
      </c>
      <c r="AJ32" s="147" t="b">
        <f>'Fixed inputs'!AJ164</f>
        <v>0</v>
      </c>
      <c r="AK32" s="147" t="b">
        <f>'Fixed inputs'!AK164</f>
        <v>0</v>
      </c>
      <c r="AL32" s="147" t="b">
        <f>'Fixed inputs'!AL164</f>
        <v>0</v>
      </c>
      <c r="AM32" s="147" t="b">
        <f>'Fixed inputs'!AM164</f>
        <v>0</v>
      </c>
      <c r="AN32" s="147" t="b">
        <f>'Fixed inputs'!AN164</f>
        <v>0</v>
      </c>
      <c r="AO32" s="147" t="b">
        <f>'Fixed inputs'!AO164</f>
        <v>0</v>
      </c>
    </row>
    <row r="33" spans="1:43" x14ac:dyDescent="0.35">
      <c r="B33" s="320"/>
      <c r="C33" s="29"/>
      <c r="D33"/>
      <c r="F33" s="311" t="s">
        <v>947</v>
      </c>
      <c r="G33" s="311" t="s">
        <v>912</v>
      </c>
      <c r="H33" s="311"/>
      <c r="I33" s="311"/>
      <c r="J33" s="314" t="b">
        <f>'Fixed inputs'!J165</f>
        <v>1</v>
      </c>
      <c r="K33" s="371"/>
      <c r="L33" s="371"/>
      <c r="M33" s="314" t="b">
        <f>'Fixed inputs'!M165</f>
        <v>1</v>
      </c>
      <c r="N33" s="314" t="b">
        <f>'Fixed inputs'!N165</f>
        <v>1</v>
      </c>
      <c r="O33" s="314" t="b">
        <f>'Fixed inputs'!O165</f>
        <v>1</v>
      </c>
      <c r="P33" s="314" t="b">
        <f>'Fixed inputs'!P165</f>
        <v>1</v>
      </c>
      <c r="Q33" s="371"/>
      <c r="R33" s="371"/>
      <c r="S33" s="314" t="b">
        <f>'Fixed inputs'!S165</f>
        <v>1</v>
      </c>
      <c r="T33" s="314" t="b">
        <f>'Fixed inputs'!T165</f>
        <v>1</v>
      </c>
      <c r="U33" s="314" t="b">
        <f>'Fixed inputs'!U165</f>
        <v>1</v>
      </c>
      <c r="V33" s="314" t="b">
        <f>'Fixed inputs'!V165</f>
        <v>1</v>
      </c>
      <c r="W33" s="371"/>
      <c r="X33" s="314" t="b">
        <f>'Fixed inputs'!X165</f>
        <v>1</v>
      </c>
      <c r="Y33" s="314" t="b">
        <f>'Fixed inputs'!Y165</f>
        <v>1</v>
      </c>
      <c r="Z33" s="314" t="b">
        <f>'Fixed inputs'!Z165</f>
        <v>1</v>
      </c>
      <c r="AA33" s="314" t="b">
        <f>'Fixed inputs'!AA165</f>
        <v>1</v>
      </c>
      <c r="AB33" s="371"/>
      <c r="AC33" s="314" t="b">
        <f>'Fixed inputs'!AC165</f>
        <v>1</v>
      </c>
      <c r="AD33" s="314" t="b">
        <f>'Fixed inputs'!AD165</f>
        <v>1</v>
      </c>
      <c r="AE33" s="314" t="b">
        <f>'Fixed inputs'!AE165</f>
        <v>1</v>
      </c>
      <c r="AF33" s="314" t="b">
        <f>'Fixed inputs'!AF165</f>
        <v>1</v>
      </c>
      <c r="AG33" s="314" t="b">
        <f>'Fixed inputs'!AG165</f>
        <v>0</v>
      </c>
      <c r="AH33" s="371"/>
      <c r="AI33" s="371"/>
      <c r="AJ33" s="371"/>
      <c r="AK33" s="371"/>
      <c r="AL33" s="371"/>
      <c r="AM33" s="371"/>
      <c r="AN33" s="371"/>
      <c r="AO33" s="371"/>
    </row>
    <row r="34" spans="1:43" x14ac:dyDescent="0.35">
      <c r="B34" s="320"/>
      <c r="C34" s="29"/>
      <c r="D34"/>
      <c r="F34" s="311" t="s">
        <v>948</v>
      </c>
      <c r="G34" s="311" t="s">
        <v>912</v>
      </c>
      <c r="H34" s="311"/>
      <c r="I34" s="311"/>
      <c r="J34" s="314" t="b">
        <f>'Fixed inputs'!J166</f>
        <v>0</v>
      </c>
      <c r="K34" s="371"/>
      <c r="L34" s="371"/>
      <c r="M34" s="314" t="b">
        <f>'Fixed inputs'!M166</f>
        <v>0</v>
      </c>
      <c r="N34" s="314" t="b">
        <f>'Fixed inputs'!N166</f>
        <v>0</v>
      </c>
      <c r="O34" s="314" t="b">
        <f>'Fixed inputs'!O166</f>
        <v>0</v>
      </c>
      <c r="P34" s="314" t="b">
        <f>'Fixed inputs'!P166</f>
        <v>0</v>
      </c>
      <c r="Q34" s="371"/>
      <c r="R34" s="371"/>
      <c r="S34" s="314" t="b">
        <f>'Fixed inputs'!S166</f>
        <v>0</v>
      </c>
      <c r="T34" s="314" t="b">
        <f>'Fixed inputs'!T166</f>
        <v>0</v>
      </c>
      <c r="U34" s="314" t="b">
        <f>'Fixed inputs'!U166</f>
        <v>0</v>
      </c>
      <c r="V34" s="314" t="b">
        <f>'Fixed inputs'!V166</f>
        <v>0</v>
      </c>
      <c r="W34" s="371"/>
      <c r="X34" s="314" t="b">
        <f>'Fixed inputs'!X166</f>
        <v>0</v>
      </c>
      <c r="Y34" s="314" t="b">
        <f>'Fixed inputs'!Y166</f>
        <v>0</v>
      </c>
      <c r="Z34" s="314" t="b">
        <f>'Fixed inputs'!Z166</f>
        <v>0</v>
      </c>
      <c r="AA34" s="314" t="b">
        <f>'Fixed inputs'!AA166</f>
        <v>0</v>
      </c>
      <c r="AB34" s="371"/>
      <c r="AC34" s="314" t="b">
        <f>'Fixed inputs'!AC166</f>
        <v>0</v>
      </c>
      <c r="AD34" s="314" t="b">
        <f>'Fixed inputs'!AD166</f>
        <v>0</v>
      </c>
      <c r="AE34" s="314" t="b">
        <f>'Fixed inputs'!AE166</f>
        <v>0</v>
      </c>
      <c r="AF34" s="314" t="b">
        <f>'Fixed inputs'!AF166</f>
        <v>0</v>
      </c>
      <c r="AG34" s="314" t="b">
        <f>'Fixed inputs'!AG166</f>
        <v>1</v>
      </c>
      <c r="AH34" s="371"/>
      <c r="AI34" s="371"/>
      <c r="AJ34" s="371"/>
      <c r="AK34" s="371"/>
      <c r="AL34" s="371"/>
      <c r="AM34" s="371"/>
      <c r="AN34" s="371"/>
      <c r="AO34" s="371"/>
    </row>
    <row r="35" spans="1:43" x14ac:dyDescent="0.35">
      <c r="A35" s="320"/>
      <c r="F35" s="432" t="s">
        <v>945</v>
      </c>
      <c r="G35" s="311" t="s">
        <v>149</v>
      </c>
      <c r="H35" s="311"/>
      <c r="I35" s="311"/>
      <c r="J35" s="314">
        <f>'Fixed inputs'!J167</f>
        <v>1</v>
      </c>
      <c r="K35" s="371"/>
      <c r="L35" s="371"/>
      <c r="M35" s="314">
        <f>'Fixed inputs'!M167</f>
        <v>2</v>
      </c>
      <c r="N35" s="314">
        <f>'Fixed inputs'!N167</f>
        <v>2</v>
      </c>
      <c r="O35" s="314">
        <f>'Fixed inputs'!O167</f>
        <v>2</v>
      </c>
      <c r="P35" s="314">
        <f>'Fixed inputs'!P167</f>
        <v>2</v>
      </c>
      <c r="Q35" s="371"/>
      <c r="R35" s="371"/>
      <c r="S35" s="314">
        <f>'Fixed inputs'!S167</f>
        <v>3</v>
      </c>
      <c r="T35" s="314">
        <f>'Fixed inputs'!T167</f>
        <v>3</v>
      </c>
      <c r="U35" s="314">
        <f>'Fixed inputs'!U167</f>
        <v>3</v>
      </c>
      <c r="V35" s="314">
        <f>'Fixed inputs'!V167</f>
        <v>3</v>
      </c>
      <c r="W35" s="371"/>
      <c r="X35" s="314">
        <f>'Fixed inputs'!X167</f>
        <v>3</v>
      </c>
      <c r="Y35" s="314">
        <f>'Fixed inputs'!Y167</f>
        <v>3</v>
      </c>
      <c r="Z35" s="314">
        <f>'Fixed inputs'!Z167</f>
        <v>3</v>
      </c>
      <c r="AA35" s="314">
        <f>'Fixed inputs'!AA167</f>
        <v>3</v>
      </c>
      <c r="AB35" s="371"/>
      <c r="AC35" s="314">
        <f>'Fixed inputs'!AC167</f>
        <v>4</v>
      </c>
      <c r="AD35" s="314">
        <f>'Fixed inputs'!AD167</f>
        <v>4</v>
      </c>
      <c r="AE35" s="314">
        <f>'Fixed inputs'!AE167</f>
        <v>4</v>
      </c>
      <c r="AF35" s="314">
        <f>'Fixed inputs'!AF167</f>
        <v>4</v>
      </c>
      <c r="AG35" s="314">
        <f>'Fixed inputs'!AG167</f>
        <v>5</v>
      </c>
      <c r="AH35" s="371"/>
      <c r="AI35" s="371"/>
      <c r="AJ35" s="371"/>
      <c r="AK35" s="371"/>
      <c r="AL35" s="371"/>
      <c r="AM35" s="371"/>
      <c r="AN35" s="371"/>
      <c r="AO35" s="371"/>
    </row>
    <row r="36" spans="1:43" x14ac:dyDescent="0.35">
      <c r="A36" s="320"/>
      <c r="B36" s="320"/>
      <c r="C36" s="29"/>
      <c r="F36" s="432" t="s">
        <v>944</v>
      </c>
      <c r="G36" s="311" t="s">
        <v>149</v>
      </c>
      <c r="H36" s="311"/>
      <c r="I36" s="311"/>
      <c r="J36" s="314">
        <f>'Fixed inputs'!J168</f>
        <v>1</v>
      </c>
      <c r="K36" s="371"/>
      <c r="L36" s="371"/>
      <c r="M36" s="314">
        <f>'Fixed inputs'!M168</f>
        <v>1</v>
      </c>
      <c r="N36" s="314">
        <f>'Fixed inputs'!N168</f>
        <v>2</v>
      </c>
      <c r="O36" s="314">
        <f>'Fixed inputs'!O168</f>
        <v>3</v>
      </c>
      <c r="P36" s="314">
        <f>'Fixed inputs'!P168</f>
        <v>4</v>
      </c>
      <c r="Q36" s="371"/>
      <c r="R36" s="371"/>
      <c r="S36" s="314">
        <f>'Fixed inputs'!S168</f>
        <v>1</v>
      </c>
      <c r="T36" s="314">
        <f>'Fixed inputs'!T168</f>
        <v>2</v>
      </c>
      <c r="U36" s="314">
        <f>'Fixed inputs'!U168</f>
        <v>3</v>
      </c>
      <c r="V36" s="314">
        <f>'Fixed inputs'!V168</f>
        <v>4</v>
      </c>
      <c r="W36" s="371"/>
      <c r="X36" s="314">
        <f>'Fixed inputs'!X168</f>
        <v>1</v>
      </c>
      <c r="Y36" s="314">
        <f>'Fixed inputs'!Y168</f>
        <v>2</v>
      </c>
      <c r="Z36" s="314">
        <f>'Fixed inputs'!Z168</f>
        <v>3</v>
      </c>
      <c r="AA36" s="314">
        <f>'Fixed inputs'!AA168</f>
        <v>4</v>
      </c>
      <c r="AB36" s="371"/>
      <c r="AC36" s="314">
        <f>'Fixed inputs'!AC168</f>
        <v>1</v>
      </c>
      <c r="AD36" s="314">
        <f>'Fixed inputs'!AD168</f>
        <v>2</v>
      </c>
      <c r="AE36" s="314">
        <f>'Fixed inputs'!AE168</f>
        <v>3</v>
      </c>
      <c r="AF36" s="314">
        <f>'Fixed inputs'!AF168</f>
        <v>4</v>
      </c>
      <c r="AG36" s="314">
        <f>'Fixed inputs'!AG168</f>
        <v>1</v>
      </c>
      <c r="AH36" s="371"/>
      <c r="AI36" s="371"/>
      <c r="AJ36" s="371"/>
      <c r="AK36" s="371"/>
      <c r="AL36" s="371"/>
      <c r="AM36" s="371"/>
      <c r="AN36" s="371"/>
      <c r="AO36" s="371"/>
    </row>
    <row r="37" spans="1:43" x14ac:dyDescent="0.35">
      <c r="D37" s="88"/>
      <c r="F37" s="67" t="s">
        <v>946</v>
      </c>
      <c r="G37" s="37" t="s">
        <v>149</v>
      </c>
      <c r="H37" s="37"/>
      <c r="I37" s="37"/>
      <c r="J37" s="211">
        <f>'Fixed inputs'!J169</f>
        <v>1</v>
      </c>
      <c r="K37" s="211">
        <f>'Fixed inputs'!K169</f>
        <v>2</v>
      </c>
      <c r="L37" s="211">
        <f>'Fixed inputs'!L169</f>
        <v>3</v>
      </c>
      <c r="M37" s="211">
        <f>'Fixed inputs'!M169</f>
        <v>3</v>
      </c>
      <c r="N37" s="211">
        <f>'Fixed inputs'!N169</f>
        <v>3</v>
      </c>
      <c r="O37" s="211">
        <f>'Fixed inputs'!O169</f>
        <v>3</v>
      </c>
      <c r="P37" s="211">
        <f>'Fixed inputs'!P169</f>
        <v>3</v>
      </c>
      <c r="Q37" s="211">
        <f>'Fixed inputs'!Q169</f>
        <v>4</v>
      </c>
      <c r="R37" s="211">
        <f>'Fixed inputs'!R169</f>
        <v>5</v>
      </c>
      <c r="S37" s="211">
        <f>'Fixed inputs'!S169</f>
        <v>5</v>
      </c>
      <c r="T37" s="211">
        <f>'Fixed inputs'!T169</f>
        <v>5</v>
      </c>
      <c r="U37" s="211">
        <f>'Fixed inputs'!U169</f>
        <v>5</v>
      </c>
      <c r="V37" s="211">
        <f>'Fixed inputs'!V169</f>
        <v>5</v>
      </c>
      <c r="W37" s="211">
        <f>'Fixed inputs'!W169</f>
        <v>6</v>
      </c>
      <c r="X37" s="211">
        <f>'Fixed inputs'!X169</f>
        <v>6</v>
      </c>
      <c r="Y37" s="211">
        <f>'Fixed inputs'!Y169</f>
        <v>6</v>
      </c>
      <c r="Z37" s="211">
        <f>'Fixed inputs'!Z169</f>
        <v>6</v>
      </c>
      <c r="AA37" s="211">
        <f>'Fixed inputs'!AA169</f>
        <v>6</v>
      </c>
      <c r="AB37" s="211">
        <f>'Fixed inputs'!AB169</f>
        <v>7</v>
      </c>
      <c r="AC37" s="211">
        <f>'Fixed inputs'!AC169</f>
        <v>7</v>
      </c>
      <c r="AD37" s="211">
        <f>'Fixed inputs'!AD169</f>
        <v>7</v>
      </c>
      <c r="AE37" s="211">
        <f>'Fixed inputs'!AE169</f>
        <v>7</v>
      </c>
      <c r="AF37" s="211">
        <f>'Fixed inputs'!AF169</f>
        <v>7</v>
      </c>
      <c r="AG37" s="211">
        <f>'Fixed inputs'!AG169</f>
        <v>8</v>
      </c>
      <c r="AH37" s="211">
        <f>'Fixed inputs'!AH169</f>
        <v>9</v>
      </c>
      <c r="AI37" s="211">
        <f>'Fixed inputs'!AI169</f>
        <v>10</v>
      </c>
      <c r="AJ37" s="211">
        <f>'Fixed inputs'!AJ169</f>
        <v>11</v>
      </c>
      <c r="AK37" s="211">
        <f>'Fixed inputs'!AK169</f>
        <v>12</v>
      </c>
      <c r="AL37" s="211">
        <f>'Fixed inputs'!AL169</f>
        <v>13</v>
      </c>
      <c r="AM37" s="211">
        <f>'Fixed inputs'!AM169</f>
        <v>14</v>
      </c>
      <c r="AN37" s="211">
        <f>'Fixed inputs'!AN169</f>
        <v>15</v>
      </c>
      <c r="AO37" s="211">
        <f>'Fixed inputs'!AO169</f>
        <v>16</v>
      </c>
    </row>
    <row r="38" spans="1:43" x14ac:dyDescent="0.35">
      <c r="A38" s="320"/>
      <c r="B38" s="320"/>
      <c r="C38" s="2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row>
    <row r="39" spans="1:43" x14ac:dyDescent="0.35">
      <c r="D39"/>
      <c r="E39" s="32" t="s">
        <v>734</v>
      </c>
      <c r="F39" s="32"/>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3" x14ac:dyDescent="0.35">
      <c r="D40"/>
      <c r="E40" s="88"/>
      <c r="F40" s="23" t="s">
        <v>156</v>
      </c>
      <c r="G40" s="23" t="s">
        <v>269</v>
      </c>
      <c r="H40" s="266"/>
      <c r="I40" s="266"/>
      <c r="J40" s="274">
        <f t="shared" ref="J40:AO40" si="0">INDEX($J20:$Y20,J$37)</f>
        <v>8.7578868905519336</v>
      </c>
      <c r="K40" s="274">
        <f t="shared" si="0"/>
        <v>8.7578868905519336</v>
      </c>
      <c r="L40" s="274">
        <f t="shared" si="0"/>
        <v>10.049981004930144</v>
      </c>
      <c r="M40" s="274">
        <f t="shared" si="0"/>
        <v>10.049981004930144</v>
      </c>
      <c r="N40" s="274">
        <f t="shared" si="0"/>
        <v>10.049981004930144</v>
      </c>
      <c r="O40" s="274">
        <f t="shared" si="0"/>
        <v>10.049981004930144</v>
      </c>
      <c r="P40" s="274">
        <f t="shared" si="0"/>
        <v>10.049981004930144</v>
      </c>
      <c r="Q40" s="274">
        <f t="shared" si="0"/>
        <v>10.049981004930144</v>
      </c>
      <c r="R40" s="274">
        <f t="shared" si="0"/>
        <v>7.2439851323805975</v>
      </c>
      <c r="S40" s="274">
        <f t="shared" si="0"/>
        <v>7.2439851323805975</v>
      </c>
      <c r="T40" s="274">
        <f t="shared" si="0"/>
        <v>7.2439851323805975</v>
      </c>
      <c r="U40" s="274">
        <f t="shared" si="0"/>
        <v>7.2439851323805975</v>
      </c>
      <c r="V40" s="274">
        <f t="shared" si="0"/>
        <v>7.2439851323805975</v>
      </c>
      <c r="W40" s="274">
        <f t="shared" si="0"/>
        <v>3.7452920159350667</v>
      </c>
      <c r="X40" s="274">
        <f t="shared" si="0"/>
        <v>3.7452920159350667</v>
      </c>
      <c r="Y40" s="274">
        <f t="shared" si="0"/>
        <v>3.7452920159350667</v>
      </c>
      <c r="Z40" s="274">
        <f t="shared" si="0"/>
        <v>3.7452920159350667</v>
      </c>
      <c r="AA40" s="274">
        <f t="shared" si="0"/>
        <v>3.7452920159350667</v>
      </c>
      <c r="AB40" s="274">
        <f t="shared" si="0"/>
        <v>2.6202382291421182</v>
      </c>
      <c r="AC40" s="274">
        <f t="shared" si="0"/>
        <v>2.6202382291421182</v>
      </c>
      <c r="AD40" s="274">
        <f t="shared" si="0"/>
        <v>2.6202382291421182</v>
      </c>
      <c r="AE40" s="274">
        <f t="shared" si="0"/>
        <v>2.6202382291421182</v>
      </c>
      <c r="AF40" s="274">
        <f t="shared" si="0"/>
        <v>2.6202382291421182</v>
      </c>
      <c r="AG40" s="274">
        <f t="shared" si="0"/>
        <v>16.503324119079796</v>
      </c>
      <c r="AH40" s="274">
        <f t="shared" si="0"/>
        <v>-6.7703858572355928</v>
      </c>
      <c r="AI40" s="274">
        <f t="shared" si="0"/>
        <v>-6.0634483873977167</v>
      </c>
      <c r="AJ40" s="274">
        <f t="shared" si="0"/>
        <v>-6.7703858572355928</v>
      </c>
      <c r="AK40" s="274">
        <f t="shared" si="0"/>
        <v>-6.7703858572355928</v>
      </c>
      <c r="AL40" s="274">
        <f t="shared" si="0"/>
        <v>-6.0634483873977167</v>
      </c>
      <c r="AM40" s="274">
        <f t="shared" si="0"/>
        <v>-6.0634483873977167</v>
      </c>
      <c r="AN40" s="274">
        <f t="shared" si="0"/>
        <v>-3.3990502940098173</v>
      </c>
      <c r="AO40" s="274">
        <f t="shared" si="0"/>
        <v>-3.3990502940098173</v>
      </c>
      <c r="AP40" s="267"/>
      <c r="AQ40" s="267"/>
    </row>
    <row r="41" spans="1:43" x14ac:dyDescent="0.35">
      <c r="D41"/>
      <c r="E41" s="88"/>
      <c r="F41" t="s">
        <v>157</v>
      </c>
      <c r="G41" t="s">
        <v>269</v>
      </c>
      <c r="H41" s="267"/>
      <c r="I41" s="267"/>
      <c r="J41" s="275">
        <f t="shared" ref="J41:AO41" si="1">INDEX($J21:$Y21,J$37)</f>
        <v>1.8206397762951982</v>
      </c>
      <c r="K41" s="275">
        <f t="shared" si="1"/>
        <v>1.8206397762951982</v>
      </c>
      <c r="L41" s="275">
        <f t="shared" si="1"/>
        <v>2.089247714346067</v>
      </c>
      <c r="M41" s="275">
        <f t="shared" si="1"/>
        <v>2.089247714346067</v>
      </c>
      <c r="N41" s="275">
        <f t="shared" si="1"/>
        <v>2.089247714346067</v>
      </c>
      <c r="O41" s="275">
        <f t="shared" si="1"/>
        <v>2.089247714346067</v>
      </c>
      <c r="P41" s="275">
        <f t="shared" si="1"/>
        <v>2.089247714346067</v>
      </c>
      <c r="Q41" s="275">
        <f t="shared" si="1"/>
        <v>2.089247714346067</v>
      </c>
      <c r="R41" s="275">
        <f t="shared" si="1"/>
        <v>1.4663018872883582</v>
      </c>
      <c r="S41" s="275">
        <f t="shared" si="1"/>
        <v>1.4663018872883582</v>
      </c>
      <c r="T41" s="275">
        <f t="shared" si="1"/>
        <v>1.4663018872883582</v>
      </c>
      <c r="U41" s="275">
        <f t="shared" si="1"/>
        <v>1.4663018872883582</v>
      </c>
      <c r="V41" s="275">
        <f t="shared" si="1"/>
        <v>1.4663018872883582</v>
      </c>
      <c r="W41" s="275">
        <f t="shared" si="1"/>
        <v>0.67783233276690069</v>
      </c>
      <c r="X41" s="275">
        <f t="shared" si="1"/>
        <v>0.67783233276690069</v>
      </c>
      <c r="Y41" s="275">
        <f t="shared" si="1"/>
        <v>0.67783233276690069</v>
      </c>
      <c r="Z41" s="275">
        <f t="shared" si="1"/>
        <v>0.67783233276690069</v>
      </c>
      <c r="AA41" s="275">
        <f t="shared" si="1"/>
        <v>0.67783233276690069</v>
      </c>
      <c r="AB41" s="275">
        <f t="shared" si="1"/>
        <v>0.45455208805206132</v>
      </c>
      <c r="AC41" s="275">
        <f t="shared" si="1"/>
        <v>0.45455208805206132</v>
      </c>
      <c r="AD41" s="275">
        <f t="shared" si="1"/>
        <v>0.45455208805206132</v>
      </c>
      <c r="AE41" s="275">
        <f t="shared" si="1"/>
        <v>0.45455208805206132</v>
      </c>
      <c r="AF41" s="275">
        <f t="shared" si="1"/>
        <v>0.45455208805206132</v>
      </c>
      <c r="AG41" s="275">
        <f t="shared" si="1"/>
        <v>3.9793044925326262</v>
      </c>
      <c r="AH41" s="275">
        <f t="shared" si="1"/>
        <v>-1.4074666579500381</v>
      </c>
      <c r="AI41" s="275">
        <f t="shared" si="1"/>
        <v>-1.2460008567520371</v>
      </c>
      <c r="AJ41" s="275">
        <f t="shared" si="1"/>
        <v>-1.4074666579500381</v>
      </c>
      <c r="AK41" s="275">
        <f t="shared" si="1"/>
        <v>-1.4074666579500381</v>
      </c>
      <c r="AL41" s="275">
        <f t="shared" si="1"/>
        <v>-1.2460008567520371</v>
      </c>
      <c r="AM41" s="275">
        <f t="shared" si="1"/>
        <v>-1.2460008567520371</v>
      </c>
      <c r="AN41" s="275">
        <f t="shared" si="1"/>
        <v>-0.61509915250322988</v>
      </c>
      <c r="AO41" s="275">
        <f t="shared" si="1"/>
        <v>-0.61509915250322988</v>
      </c>
      <c r="AP41" s="267"/>
      <c r="AQ41" s="267"/>
    </row>
    <row r="42" spans="1:43" x14ac:dyDescent="0.35">
      <c r="D42"/>
      <c r="E42" s="88"/>
      <c r="F42" t="s">
        <v>158</v>
      </c>
      <c r="G42" t="s">
        <v>269</v>
      </c>
      <c r="H42" s="267"/>
      <c r="I42" s="267"/>
      <c r="J42" s="275">
        <f t="shared" ref="J42:AO42" si="2">INDEX($J22:$Y22,J$37)</f>
        <v>0.63370675863757786</v>
      </c>
      <c r="K42" s="275">
        <f t="shared" si="2"/>
        <v>0.63370675863757786</v>
      </c>
      <c r="L42" s="275">
        <f t="shared" si="2"/>
        <v>0.72720063259485002</v>
      </c>
      <c r="M42" s="275">
        <f t="shared" si="2"/>
        <v>0.72720063259485002</v>
      </c>
      <c r="N42" s="275">
        <f t="shared" si="2"/>
        <v>0.72720063259485002</v>
      </c>
      <c r="O42" s="275">
        <f t="shared" si="2"/>
        <v>0.72720063259485002</v>
      </c>
      <c r="P42" s="275">
        <f t="shared" si="2"/>
        <v>0.72720063259485002</v>
      </c>
      <c r="Q42" s="275">
        <f t="shared" si="2"/>
        <v>0.72720063259485002</v>
      </c>
      <c r="R42" s="275">
        <f t="shared" si="2"/>
        <v>0.51447803021364991</v>
      </c>
      <c r="S42" s="275">
        <f t="shared" si="2"/>
        <v>0.51447803021364991</v>
      </c>
      <c r="T42" s="275">
        <f t="shared" si="2"/>
        <v>0.51447803021364991</v>
      </c>
      <c r="U42" s="275">
        <f t="shared" si="2"/>
        <v>0.51447803021364991</v>
      </c>
      <c r="V42" s="275">
        <f t="shared" si="2"/>
        <v>0.51447803021364991</v>
      </c>
      <c r="W42" s="275">
        <f t="shared" si="2"/>
        <v>0.24637179623668531</v>
      </c>
      <c r="X42" s="275">
        <f t="shared" si="2"/>
        <v>0.24637179623668531</v>
      </c>
      <c r="Y42" s="275">
        <f t="shared" si="2"/>
        <v>0.24637179623668531</v>
      </c>
      <c r="Z42" s="275">
        <f t="shared" si="2"/>
        <v>0.24637179623668531</v>
      </c>
      <c r="AA42" s="275">
        <f t="shared" si="2"/>
        <v>0.24637179623668531</v>
      </c>
      <c r="AB42" s="275">
        <f t="shared" si="2"/>
        <v>0.1764399618541925</v>
      </c>
      <c r="AC42" s="275">
        <f t="shared" si="2"/>
        <v>0.1764399618541925</v>
      </c>
      <c r="AD42" s="275">
        <f t="shared" si="2"/>
        <v>0.1764399618541925</v>
      </c>
      <c r="AE42" s="275">
        <f t="shared" si="2"/>
        <v>0.1764399618541925</v>
      </c>
      <c r="AF42" s="275">
        <f t="shared" si="2"/>
        <v>0.1764399618541925</v>
      </c>
      <c r="AG42" s="275">
        <f t="shared" si="2"/>
        <v>3.0121395815112382</v>
      </c>
      <c r="AH42" s="275">
        <f t="shared" si="2"/>
        <v>-0.48989434665375964</v>
      </c>
      <c r="AI42" s="275">
        <f t="shared" si="2"/>
        <v>-0.43519597745109795</v>
      </c>
      <c r="AJ42" s="275">
        <f t="shared" si="2"/>
        <v>-0.48989434665375964</v>
      </c>
      <c r="AK42" s="275">
        <f t="shared" si="2"/>
        <v>-0.48989434665375964</v>
      </c>
      <c r="AL42" s="275">
        <f t="shared" si="2"/>
        <v>-0.43519597745109795</v>
      </c>
      <c r="AM42" s="275">
        <f t="shared" si="2"/>
        <v>-0.43519597745109795</v>
      </c>
      <c r="AN42" s="275">
        <f t="shared" si="2"/>
        <v>-0.22360981889651921</v>
      </c>
      <c r="AO42" s="275">
        <f t="shared" si="2"/>
        <v>-0.22360981889651921</v>
      </c>
      <c r="AP42" s="267"/>
      <c r="AQ42" s="267"/>
    </row>
    <row r="43" spans="1:43" x14ac:dyDescent="0.35">
      <c r="D43"/>
      <c r="E43" s="88"/>
      <c r="F43" t="s">
        <v>159</v>
      </c>
      <c r="G43" t="s">
        <v>270</v>
      </c>
      <c r="J43" s="199">
        <f t="shared" ref="J43:AO43" si="3">INDEX($J23:$Y23,J$37)</f>
        <v>7.2414353933991542</v>
      </c>
      <c r="K43" s="199">
        <f t="shared" si="3"/>
        <v>0</v>
      </c>
      <c r="L43" s="199">
        <f t="shared" si="3"/>
        <v>10.32111579724789</v>
      </c>
      <c r="M43" s="199">
        <f t="shared" si="3"/>
        <v>10.32111579724789</v>
      </c>
      <c r="N43" s="199">
        <f t="shared" si="3"/>
        <v>10.32111579724789</v>
      </c>
      <c r="O43" s="199">
        <f t="shared" si="3"/>
        <v>10.32111579724789</v>
      </c>
      <c r="P43" s="199">
        <f t="shared" si="3"/>
        <v>10.32111579724789</v>
      </c>
      <c r="Q43" s="199">
        <f t="shared" si="3"/>
        <v>0</v>
      </c>
      <c r="R43" s="199">
        <f t="shared" si="3"/>
        <v>27.1234520849282</v>
      </c>
      <c r="S43" s="199">
        <f t="shared" si="3"/>
        <v>27.1234520849282</v>
      </c>
      <c r="T43" s="199">
        <f t="shared" si="3"/>
        <v>27.1234520849282</v>
      </c>
      <c r="U43" s="199">
        <f t="shared" si="3"/>
        <v>27.1234520849282</v>
      </c>
      <c r="V43" s="199">
        <f t="shared" si="3"/>
        <v>27.1234520849282</v>
      </c>
      <c r="W43" s="199">
        <f t="shared" si="3"/>
        <v>63.777155343839667</v>
      </c>
      <c r="X43" s="199">
        <f t="shared" si="3"/>
        <v>63.777155343839667</v>
      </c>
      <c r="Y43" s="199">
        <f t="shared" si="3"/>
        <v>63.777155343839667</v>
      </c>
      <c r="Z43" s="199">
        <f t="shared" si="3"/>
        <v>63.777155343839667</v>
      </c>
      <c r="AA43" s="199">
        <f t="shared" si="3"/>
        <v>63.777155343839667</v>
      </c>
      <c r="AB43" s="199">
        <f t="shared" si="3"/>
        <v>322.05936254955475</v>
      </c>
      <c r="AC43" s="199">
        <f t="shared" si="3"/>
        <v>322.05936254955475</v>
      </c>
      <c r="AD43" s="199">
        <f t="shared" si="3"/>
        <v>322.05936254955475</v>
      </c>
      <c r="AE43" s="199">
        <f t="shared" si="3"/>
        <v>322.05936254955475</v>
      </c>
      <c r="AF43" s="199">
        <f t="shared" si="3"/>
        <v>322.05936254955475</v>
      </c>
      <c r="AG43" s="199">
        <f t="shared" si="3"/>
        <v>0</v>
      </c>
      <c r="AH43" s="199">
        <f t="shared" si="3"/>
        <v>0</v>
      </c>
      <c r="AI43" s="199">
        <f t="shared" si="3"/>
        <v>0</v>
      </c>
      <c r="AJ43" s="199">
        <f t="shared" si="3"/>
        <v>0</v>
      </c>
      <c r="AK43" s="199">
        <f t="shared" si="3"/>
        <v>0</v>
      </c>
      <c r="AL43" s="199">
        <f t="shared" si="3"/>
        <v>0</v>
      </c>
      <c r="AM43" s="199">
        <f t="shared" si="3"/>
        <v>0</v>
      </c>
      <c r="AN43" s="199">
        <f t="shared" si="3"/>
        <v>526.69511172822524</v>
      </c>
      <c r="AO43" s="199">
        <f t="shared" si="3"/>
        <v>526.69511172822524</v>
      </c>
    </row>
    <row r="44" spans="1:43" x14ac:dyDescent="0.35">
      <c r="D44"/>
      <c r="E44" s="88"/>
      <c r="F44" t="s">
        <v>160</v>
      </c>
      <c r="G44" t="s">
        <v>271</v>
      </c>
      <c r="J44" s="199">
        <f t="shared" ref="J44:AO44" si="4">INDEX($J24:$Y24,J$37)</f>
        <v>0</v>
      </c>
      <c r="K44" s="199">
        <f t="shared" si="4"/>
        <v>0</v>
      </c>
      <c r="L44" s="199">
        <f t="shared" si="4"/>
        <v>0</v>
      </c>
      <c r="M44" s="199">
        <f t="shared" si="4"/>
        <v>0</v>
      </c>
      <c r="N44" s="199">
        <f t="shared" si="4"/>
        <v>0</v>
      </c>
      <c r="O44" s="199">
        <f t="shared" si="4"/>
        <v>0</v>
      </c>
      <c r="P44" s="199">
        <f t="shared" si="4"/>
        <v>0</v>
      </c>
      <c r="Q44" s="199">
        <f t="shared" si="4"/>
        <v>0</v>
      </c>
      <c r="R44" s="199">
        <f t="shared" si="4"/>
        <v>5.4456927810994635</v>
      </c>
      <c r="S44" s="199">
        <f t="shared" si="4"/>
        <v>5.4456927810994635</v>
      </c>
      <c r="T44" s="199">
        <f t="shared" si="4"/>
        <v>5.4456927810994635</v>
      </c>
      <c r="U44" s="199">
        <f t="shared" si="4"/>
        <v>5.4456927810994635</v>
      </c>
      <c r="V44" s="199">
        <f t="shared" si="4"/>
        <v>5.4456927810994635</v>
      </c>
      <c r="W44" s="199">
        <f t="shared" si="4"/>
        <v>8.6286268818898275</v>
      </c>
      <c r="X44" s="199">
        <f t="shared" si="4"/>
        <v>8.6286268818898275</v>
      </c>
      <c r="Y44" s="199">
        <f t="shared" si="4"/>
        <v>8.6286268818898275</v>
      </c>
      <c r="Z44" s="199">
        <f t="shared" si="4"/>
        <v>8.6286268818898275</v>
      </c>
      <c r="AA44" s="199">
        <f t="shared" si="4"/>
        <v>8.6286268818898275</v>
      </c>
      <c r="AB44" s="199">
        <f t="shared" si="4"/>
        <v>11.66095176944162</v>
      </c>
      <c r="AC44" s="199">
        <f t="shared" si="4"/>
        <v>11.66095176944162</v>
      </c>
      <c r="AD44" s="199">
        <f t="shared" si="4"/>
        <v>11.66095176944162</v>
      </c>
      <c r="AE44" s="199">
        <f t="shared" si="4"/>
        <v>11.66095176944162</v>
      </c>
      <c r="AF44" s="199">
        <f t="shared" si="4"/>
        <v>11.66095176944162</v>
      </c>
      <c r="AG44" s="199">
        <f t="shared" si="4"/>
        <v>0</v>
      </c>
      <c r="AH44" s="199">
        <f t="shared" si="4"/>
        <v>0</v>
      </c>
      <c r="AI44" s="199">
        <f t="shared" si="4"/>
        <v>0</v>
      </c>
      <c r="AJ44" s="199">
        <f t="shared" si="4"/>
        <v>0</v>
      </c>
      <c r="AK44" s="199">
        <f t="shared" si="4"/>
        <v>0</v>
      </c>
      <c r="AL44" s="199">
        <f t="shared" si="4"/>
        <v>0</v>
      </c>
      <c r="AM44" s="199">
        <f t="shared" si="4"/>
        <v>0</v>
      </c>
      <c r="AN44" s="199">
        <f t="shared" si="4"/>
        <v>0</v>
      </c>
      <c r="AO44" s="199">
        <f t="shared" si="4"/>
        <v>0</v>
      </c>
    </row>
    <row r="45" spans="1:43" x14ac:dyDescent="0.35">
      <c r="D45"/>
      <c r="E45" s="88"/>
      <c r="F45" t="s">
        <v>161</v>
      </c>
      <c r="G45" t="s">
        <v>271</v>
      </c>
      <c r="J45" s="199">
        <f t="shared" ref="J45:AO45" si="5">INDEX($J25:$Y25,J$37)</f>
        <v>0</v>
      </c>
      <c r="K45" s="199">
        <f t="shared" si="5"/>
        <v>0</v>
      </c>
      <c r="L45" s="199">
        <f t="shared" si="5"/>
        <v>0</v>
      </c>
      <c r="M45" s="199">
        <f t="shared" si="5"/>
        <v>0</v>
      </c>
      <c r="N45" s="199">
        <f t="shared" si="5"/>
        <v>0</v>
      </c>
      <c r="O45" s="199">
        <f t="shared" si="5"/>
        <v>0</v>
      </c>
      <c r="P45" s="199">
        <f t="shared" si="5"/>
        <v>0</v>
      </c>
      <c r="Q45" s="199">
        <f t="shared" si="5"/>
        <v>0</v>
      </c>
      <c r="R45" s="199">
        <f t="shared" si="5"/>
        <v>9.5225717204209275</v>
      </c>
      <c r="S45" s="199">
        <f t="shared" si="5"/>
        <v>9.5225717204209275</v>
      </c>
      <c r="T45" s="199">
        <f t="shared" si="5"/>
        <v>9.5225717204209275</v>
      </c>
      <c r="U45" s="199">
        <f t="shared" si="5"/>
        <v>9.5225717204209275</v>
      </c>
      <c r="V45" s="199">
        <f t="shared" si="5"/>
        <v>9.5225717204209275</v>
      </c>
      <c r="W45" s="199">
        <f t="shared" si="5"/>
        <v>11.683618977303782</v>
      </c>
      <c r="X45" s="199">
        <f t="shared" si="5"/>
        <v>11.683618977303782</v>
      </c>
      <c r="Y45" s="199">
        <f t="shared" si="5"/>
        <v>11.683618977303782</v>
      </c>
      <c r="Z45" s="199">
        <f t="shared" si="5"/>
        <v>11.683618977303782</v>
      </c>
      <c r="AA45" s="199">
        <f t="shared" si="5"/>
        <v>11.683618977303782</v>
      </c>
      <c r="AB45" s="199">
        <f t="shared" si="5"/>
        <v>13.569478191552264</v>
      </c>
      <c r="AC45" s="199">
        <f t="shared" si="5"/>
        <v>13.569478191552264</v>
      </c>
      <c r="AD45" s="199">
        <f t="shared" si="5"/>
        <v>13.569478191552264</v>
      </c>
      <c r="AE45" s="199">
        <f t="shared" si="5"/>
        <v>13.569478191552264</v>
      </c>
      <c r="AF45" s="199">
        <f t="shared" si="5"/>
        <v>13.569478191552264</v>
      </c>
      <c r="AG45" s="199">
        <f t="shared" si="5"/>
        <v>0</v>
      </c>
      <c r="AH45" s="199">
        <f t="shared" si="5"/>
        <v>0</v>
      </c>
      <c r="AI45" s="199">
        <f t="shared" si="5"/>
        <v>0</v>
      </c>
      <c r="AJ45" s="199">
        <f t="shared" si="5"/>
        <v>0</v>
      </c>
      <c r="AK45" s="199">
        <f t="shared" si="5"/>
        <v>0</v>
      </c>
      <c r="AL45" s="199">
        <f t="shared" si="5"/>
        <v>0</v>
      </c>
      <c r="AM45" s="199">
        <f t="shared" si="5"/>
        <v>0</v>
      </c>
      <c r="AN45" s="199">
        <f t="shared" si="5"/>
        <v>0</v>
      </c>
      <c r="AO45" s="199">
        <f t="shared" si="5"/>
        <v>0</v>
      </c>
    </row>
    <row r="46" spans="1:43" x14ac:dyDescent="0.35">
      <c r="D46"/>
      <c r="E46" s="88"/>
      <c r="F46" s="37" t="s">
        <v>162</v>
      </c>
      <c r="G46" s="37" t="s">
        <v>272</v>
      </c>
      <c r="H46" s="269"/>
      <c r="I46" s="269"/>
      <c r="J46" s="276">
        <f t="shared" ref="J46:AO46" si="6">INDEX($J26:$Y26,J$37)</f>
        <v>0</v>
      </c>
      <c r="K46" s="276">
        <f t="shared" si="6"/>
        <v>0</v>
      </c>
      <c r="L46" s="276">
        <f t="shared" si="6"/>
        <v>0</v>
      </c>
      <c r="M46" s="276">
        <f t="shared" si="6"/>
        <v>0</v>
      </c>
      <c r="N46" s="276">
        <f t="shared" si="6"/>
        <v>0</v>
      </c>
      <c r="O46" s="276">
        <f t="shared" si="6"/>
        <v>0</v>
      </c>
      <c r="P46" s="276">
        <f t="shared" si="6"/>
        <v>0</v>
      </c>
      <c r="Q46" s="276">
        <f t="shared" si="6"/>
        <v>0</v>
      </c>
      <c r="R46" s="276">
        <f t="shared" si="6"/>
        <v>0.29016585626188895</v>
      </c>
      <c r="S46" s="276">
        <f t="shared" si="6"/>
        <v>0.29016585626188895</v>
      </c>
      <c r="T46" s="276">
        <f t="shared" si="6"/>
        <v>0.29016585626188895</v>
      </c>
      <c r="U46" s="276">
        <f t="shared" si="6"/>
        <v>0.29016585626188895</v>
      </c>
      <c r="V46" s="276">
        <f t="shared" si="6"/>
        <v>0.29016585626188895</v>
      </c>
      <c r="W46" s="276">
        <f t="shared" si="6"/>
        <v>0.13734796865901858</v>
      </c>
      <c r="X46" s="276">
        <f t="shared" si="6"/>
        <v>0.13734796865901858</v>
      </c>
      <c r="Y46" s="276">
        <f t="shared" si="6"/>
        <v>0.13734796865901858</v>
      </c>
      <c r="Z46" s="276">
        <f t="shared" si="6"/>
        <v>0.13734796865901858</v>
      </c>
      <c r="AA46" s="276">
        <f t="shared" si="6"/>
        <v>0.13734796865901858</v>
      </c>
      <c r="AB46" s="276">
        <f t="shared" si="6"/>
        <v>9.3179203276517297E-2</v>
      </c>
      <c r="AC46" s="276">
        <f t="shared" si="6"/>
        <v>9.3179203276517297E-2</v>
      </c>
      <c r="AD46" s="276">
        <f t="shared" si="6"/>
        <v>9.3179203276517297E-2</v>
      </c>
      <c r="AE46" s="276">
        <f t="shared" si="6"/>
        <v>9.3179203276517297E-2</v>
      </c>
      <c r="AF46" s="276">
        <f t="shared" si="6"/>
        <v>9.3179203276517297E-2</v>
      </c>
      <c r="AG46" s="276">
        <f t="shared" si="6"/>
        <v>0</v>
      </c>
      <c r="AH46" s="276">
        <f t="shared" si="6"/>
        <v>0</v>
      </c>
      <c r="AI46" s="276">
        <f t="shared" si="6"/>
        <v>0</v>
      </c>
      <c r="AJ46" s="276">
        <f t="shared" si="6"/>
        <v>0.28408916936135709</v>
      </c>
      <c r="AK46" s="276">
        <f t="shared" si="6"/>
        <v>0</v>
      </c>
      <c r="AL46" s="276">
        <f t="shared" si="6"/>
        <v>0.23757355377153469</v>
      </c>
      <c r="AM46" s="276">
        <f t="shared" si="6"/>
        <v>0</v>
      </c>
      <c r="AN46" s="276">
        <f t="shared" si="6"/>
        <v>0.21638006796957138</v>
      </c>
      <c r="AO46" s="276">
        <f t="shared" si="6"/>
        <v>0</v>
      </c>
      <c r="AP46" s="267"/>
      <c r="AQ46" s="267"/>
    </row>
    <row r="47" spans="1:43" x14ac:dyDescent="0.35">
      <c r="D47"/>
      <c r="E47" s="88"/>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43" x14ac:dyDescent="0.35">
      <c r="D48"/>
      <c r="E48" s="28" t="s">
        <v>877</v>
      </c>
      <c r="F48" s="333"/>
      <c r="G48" t="s">
        <v>270</v>
      </c>
      <c r="J48" s="199">
        <f t="shared" ref="J48:AO48" si="7">INDEX($J29:$Y29,J$37)</f>
        <v>9.9225903612093305</v>
      </c>
      <c r="K48" s="199">
        <f t="shared" si="7"/>
        <v>0</v>
      </c>
      <c r="L48" s="199">
        <f t="shared" si="7"/>
        <v>4.9696068210495895E-2</v>
      </c>
      <c r="M48" s="199">
        <f t="shared" si="7"/>
        <v>4.9696068210495895E-2</v>
      </c>
      <c r="N48" s="199">
        <f t="shared" si="7"/>
        <v>4.9696068210495895E-2</v>
      </c>
      <c r="O48" s="199">
        <f t="shared" si="7"/>
        <v>4.9696068210495895E-2</v>
      </c>
      <c r="P48" s="199">
        <f t="shared" si="7"/>
        <v>4.9696068210495895E-2</v>
      </c>
      <c r="Q48" s="199">
        <f t="shared" si="7"/>
        <v>0</v>
      </c>
      <c r="R48" s="199">
        <f t="shared" si="7"/>
        <v>4.9696068210495895E-2</v>
      </c>
      <c r="S48" s="199">
        <f t="shared" si="7"/>
        <v>4.9696068210495895E-2</v>
      </c>
      <c r="T48" s="199">
        <f t="shared" si="7"/>
        <v>4.9696068210495895E-2</v>
      </c>
      <c r="U48" s="199">
        <f t="shared" si="7"/>
        <v>4.9696068210495895E-2</v>
      </c>
      <c r="V48" s="199">
        <f t="shared" si="7"/>
        <v>4.9696068210495895E-2</v>
      </c>
      <c r="W48" s="199">
        <f t="shared" si="7"/>
        <v>4.9696068210495895E-2</v>
      </c>
      <c r="X48" s="199">
        <f t="shared" si="7"/>
        <v>4.9696068210495895E-2</v>
      </c>
      <c r="Y48" s="199">
        <f t="shared" si="7"/>
        <v>4.9696068210495895E-2</v>
      </c>
      <c r="Z48" s="199">
        <f t="shared" si="7"/>
        <v>4.9696068210495895E-2</v>
      </c>
      <c r="AA48" s="199">
        <f t="shared" si="7"/>
        <v>4.9696068210495895E-2</v>
      </c>
      <c r="AB48" s="199">
        <f t="shared" si="7"/>
        <v>4.9696068210495895E-2</v>
      </c>
      <c r="AC48" s="199">
        <f t="shared" si="7"/>
        <v>4.9696068210495895E-2</v>
      </c>
      <c r="AD48" s="199">
        <f t="shared" si="7"/>
        <v>4.9696068210495895E-2</v>
      </c>
      <c r="AE48" s="199">
        <f t="shared" si="7"/>
        <v>4.9696068210495895E-2</v>
      </c>
      <c r="AF48" s="199">
        <f t="shared" si="7"/>
        <v>4.9696068210495895E-2</v>
      </c>
      <c r="AG48" s="199">
        <f t="shared" si="7"/>
        <v>0</v>
      </c>
      <c r="AH48" s="199">
        <f t="shared" si="7"/>
        <v>0</v>
      </c>
      <c r="AI48" s="199">
        <f t="shared" si="7"/>
        <v>0</v>
      </c>
      <c r="AJ48" s="199">
        <f t="shared" si="7"/>
        <v>0</v>
      </c>
      <c r="AK48" s="199">
        <f t="shared" si="7"/>
        <v>0</v>
      </c>
      <c r="AL48" s="199">
        <f t="shared" si="7"/>
        <v>0</v>
      </c>
      <c r="AM48" s="199">
        <f t="shared" si="7"/>
        <v>0</v>
      </c>
      <c r="AN48" s="199">
        <f t="shared" si="7"/>
        <v>0</v>
      </c>
      <c r="AO48" s="199">
        <f t="shared" si="7"/>
        <v>0</v>
      </c>
    </row>
    <row r="49" spans="4:41" x14ac:dyDescent="0.35">
      <c r="D49"/>
      <c r="E49" s="88"/>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row>
    <row r="50" spans="4:41" x14ac:dyDescent="0.35">
      <c r="D50"/>
      <c r="E50" s="32" t="s">
        <v>735</v>
      </c>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row>
    <row r="51" spans="4:41" x14ac:dyDescent="0.35">
      <c r="D51"/>
      <c r="E51" s="32"/>
      <c r="F51" s="29" t="s">
        <v>1039</v>
      </c>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row>
    <row r="52" spans="4:41" x14ac:dyDescent="0.35">
      <c r="D52"/>
      <c r="E52" s="32"/>
      <c r="F52" s="29" t="s">
        <v>1035</v>
      </c>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row>
    <row r="53" spans="4:41" x14ac:dyDescent="0.35">
      <c r="D53" s="88"/>
      <c r="F53" s="23" t="s">
        <v>156</v>
      </c>
      <c r="G53" s="23" t="s">
        <v>207</v>
      </c>
      <c r="H53" s="325">
        <v>0</v>
      </c>
      <c r="I53" s="23"/>
      <c r="J53" s="193">
        <f>INDEX('Volume adjustments'!$J$481:$Y$521, J$36 + 1 + $H53*$H$59, J$37)</f>
        <v>324470.38323020173</v>
      </c>
      <c r="K53" s="193">
        <f>INDEX('Volume adjustments'!$J$481:$Y$521, K$36 + 1 + $H53*$H$59, K$37)</f>
        <v>9396.1650095049135</v>
      </c>
      <c r="L53" s="193">
        <f>INDEX('Volume adjustments'!$J$481:$Y$521, L$36 + 1 + $H53*$H$59, L$37)</f>
        <v>0</v>
      </c>
      <c r="M53" s="193">
        <f>INDEX('Volume adjustments'!$J$481:$Y$521, M$36 + 1 + $H53*$H$59, M$37)</f>
        <v>3442.9274264339338</v>
      </c>
      <c r="N53" s="193">
        <f>INDEX('Volume adjustments'!$J$481:$Y$521, N$36 + 1 + $H53*$H$59, N$37)</f>
        <v>16526.732081315939</v>
      </c>
      <c r="O53" s="193">
        <f>INDEX('Volume adjustments'!$J$481:$Y$521, O$36 + 1 + $H53*$H$59, O$37)</f>
        <v>23027.110824979114</v>
      </c>
      <c r="P53" s="193">
        <f>INDEX('Volume adjustments'!$J$481:$Y$521, P$36 + 1 + $H53*$H$59, P$37)</f>
        <v>60941.367063452548</v>
      </c>
      <c r="Q53" s="193">
        <f>INDEX('Volume adjustments'!$J$481:$Y$521, Q$36 + 1 + $H53*$H$59, Q$37)</f>
        <v>454.90419700623829</v>
      </c>
      <c r="R53" s="193">
        <f>INDEX('Volume adjustments'!$J$481:$Y$521, R$36 + 1 + $H53*$H$59, R$37)</f>
        <v>0</v>
      </c>
      <c r="S53" s="193">
        <f>INDEX('Volume adjustments'!$J$481:$Y$521, S$36 + 1 + $H53*$H$59, S$37)</f>
        <v>28816.593330534015</v>
      </c>
      <c r="T53" s="193">
        <f>INDEX('Volume adjustments'!$J$481:$Y$521, T$36 + 1 + $H53*$H$59, T$37)</f>
        <v>29605.045514240275</v>
      </c>
      <c r="U53" s="193">
        <f>INDEX('Volume adjustments'!$J$481:$Y$521, U$36 + 1 + $H53*$H$59, U$37)</f>
        <v>22384.691674972386</v>
      </c>
      <c r="V53" s="193">
        <f>INDEX('Volume adjustments'!$J$481:$Y$521, V$36 + 1 + $H53*$H$59, V$37)</f>
        <v>60929.567540581636</v>
      </c>
      <c r="W53" s="193">
        <f>INDEX('Volume adjustments'!$J$481:$Y$521, W$36 + 1 + $H53*$H$59, W$37)</f>
        <v>0</v>
      </c>
      <c r="X53" s="193">
        <f>INDEX('Volume adjustments'!$J$481:$Y$521, X$36 + 1 + $H53*$H$59, X$37)</f>
        <v>641.17409023776929</v>
      </c>
      <c r="Y53" s="193">
        <f>INDEX('Volume adjustments'!$J$481:$Y$521, Y$36 + 1 + $H53*$H$59, Y$37)</f>
        <v>393.26997824978929</v>
      </c>
      <c r="Z53" s="193">
        <f>INDEX('Volume adjustments'!$J$481:$Y$521, Z$36 + 1 + $H53*$H$59, Z$37)</f>
        <v>1165.1144850674229</v>
      </c>
      <c r="AA53" s="193">
        <f>INDEX('Volume adjustments'!$J$481:$Y$521, AA$36 + 1 + $H53*$H$59, AA$37)</f>
        <v>9099.680605809619</v>
      </c>
      <c r="AB53" s="193">
        <f>INDEX('Volume adjustments'!$J$481:$Y$521, AB$36 + 1 + $H53*$H$59, AB$37)</f>
        <v>0</v>
      </c>
      <c r="AC53" s="193">
        <f>INDEX('Volume adjustments'!$J$481:$Y$521, AC$36 + 1 + $H53*$H$59, AC$37)</f>
        <v>6872.1524090227194</v>
      </c>
      <c r="AD53" s="193">
        <f>INDEX('Volume adjustments'!$J$481:$Y$521, AD$36 + 1 + $H53*$H$59, AD$37)</f>
        <v>19108.403971188476</v>
      </c>
      <c r="AE53" s="193">
        <f>INDEX('Volume adjustments'!$J$481:$Y$521, AE$36 + 1 + $H53*$H$59, AE$37)</f>
        <v>15998.892281673381</v>
      </c>
      <c r="AF53" s="193">
        <f>INDEX('Volume adjustments'!$J$481:$Y$521, AF$36 + 1 + $H53*$H$59, AF$37)</f>
        <v>32106.223758912016</v>
      </c>
      <c r="AG53" s="193">
        <f>INDEX('Volume adjustments'!$J$481:$Y$521, AG$36 + 1 + $H53*$H$59, AG$37)</f>
        <v>6024.6308921944819</v>
      </c>
      <c r="AH53" s="193">
        <f>INDEX('Volume adjustments'!$J$481:$Y$521, AH$36 + 1 + $H53*$H$59, AH$37)</f>
        <v>650.78467700282442</v>
      </c>
      <c r="AI53" s="193">
        <f>INDEX('Volume adjustments'!$J$481:$Y$521, AI$36 + 1 + $H53*$H$59, AI$37)</f>
        <v>0.19900000000000004</v>
      </c>
      <c r="AJ53" s="193">
        <f>INDEX('Volume adjustments'!$J$481:$Y$521, AJ$36 + 1 + $H53*$H$59, AJ$37)</f>
        <v>37028.598245563808</v>
      </c>
      <c r="AK53" s="193">
        <f>INDEX('Volume adjustments'!$J$481:$Y$521, AK$36 + 1 + $H53*$H$59, AK$37)</f>
        <v>0</v>
      </c>
      <c r="AL53" s="193">
        <f>INDEX('Volume adjustments'!$J$481:$Y$521, AL$36 + 1 + $H53*$H$59, AL$37)</f>
        <v>324.10167419354838</v>
      </c>
      <c r="AM53" s="193">
        <f>INDEX('Volume adjustments'!$J$481:$Y$521, AM$36 + 1 + $H53*$H$59, AM$37)</f>
        <v>0</v>
      </c>
      <c r="AN53" s="193">
        <f>INDEX('Volume adjustments'!$J$481:$Y$521, AN$36 + 1 + $H53*$H$59, AN$37)</f>
        <v>166464.50181248464</v>
      </c>
      <c r="AO53" s="193">
        <f>INDEX('Volume adjustments'!$J$481:$Y$521, AO$36 + 1 + $H53*$H$59, AO$37)</f>
        <v>0</v>
      </c>
    </row>
    <row r="54" spans="4:41" x14ac:dyDescent="0.35">
      <c r="D54" s="88"/>
      <c r="F54" t="s">
        <v>157</v>
      </c>
      <c r="G54" t="s">
        <v>207</v>
      </c>
      <c r="H54" s="376">
        <v>1</v>
      </c>
      <c r="J54" s="339">
        <f>INDEX('Volume adjustments'!$J$481:$Y$521, J$36 + 1 + $H54*$H$59, J$37)</f>
        <v>1243340.7641607483</v>
      </c>
      <c r="K54" s="339">
        <f>INDEX('Volume adjustments'!$J$481:$Y$521, K$36 + 1 + $H54*$H$59, K$37)</f>
        <v>146290.47824065451</v>
      </c>
      <c r="L54" s="339">
        <f>INDEX('Volume adjustments'!$J$481:$Y$521, L$36 + 1 + $H54*$H$59, L$37)</f>
        <v>0</v>
      </c>
      <c r="M54" s="339">
        <f>INDEX('Volume adjustments'!$J$481:$Y$521, M$36 + 1 + $H54*$H$59, M$37)</f>
        <v>17921.583963322006</v>
      </c>
      <c r="N54" s="339">
        <f>INDEX('Volume adjustments'!$J$481:$Y$521, N$36 + 1 + $H54*$H$59, N$37)</f>
        <v>86027.144911796611</v>
      </c>
      <c r="O54" s="339">
        <f>INDEX('Volume adjustments'!$J$481:$Y$521, O$36 + 1 + $H54*$H$59, O$37)</f>
        <v>119863.78130253717</v>
      </c>
      <c r="P54" s="339">
        <f>INDEX('Volume adjustments'!$J$481:$Y$521, P$36 + 1 + $H54*$H$59, P$37)</f>
        <v>317220.11282663571</v>
      </c>
      <c r="Q54" s="339">
        <f>INDEX('Volume adjustments'!$J$481:$Y$521, Q$36 + 1 + $H54*$H$59, Q$37)</f>
        <v>8911.3295663483332</v>
      </c>
      <c r="R54" s="339">
        <f>INDEX('Volume adjustments'!$J$481:$Y$521, R$36 + 1 + $H54*$H$59, R$37)</f>
        <v>0</v>
      </c>
      <c r="S54" s="339">
        <f>INDEX('Volume adjustments'!$J$481:$Y$521, S$36 + 1 + $H54*$H$59, S$37)</f>
        <v>144371.36446416241</v>
      </c>
      <c r="T54" s="339">
        <f>INDEX('Volume adjustments'!$J$481:$Y$521, T$36 + 1 + $H54*$H$59, T$37)</f>
        <v>148321.51624896095</v>
      </c>
      <c r="U54" s="339">
        <f>INDEX('Volume adjustments'!$J$481:$Y$521, U$36 + 1 + $H54*$H$59, U$37)</f>
        <v>112147.48541428134</v>
      </c>
      <c r="V54" s="339">
        <f>INDEX('Volume adjustments'!$J$481:$Y$521, V$36 + 1 + $H54*$H$59, V$37)</f>
        <v>305257.6236596423</v>
      </c>
      <c r="W54" s="339">
        <f>INDEX('Volume adjustments'!$J$481:$Y$521, W$36 + 1 + $H54*$H$59, W$37)</f>
        <v>0</v>
      </c>
      <c r="X54" s="339">
        <f>INDEX('Volume adjustments'!$J$481:$Y$521, X$36 + 1 + $H54*$H$59, X$37)</f>
        <v>3025.9727510856565</v>
      </c>
      <c r="Y54" s="339">
        <f>INDEX('Volume adjustments'!$J$481:$Y$521, Y$36 + 1 + $H54*$H$59, Y$37)</f>
        <v>1856.0079955236642</v>
      </c>
      <c r="Z54" s="339">
        <f>INDEX('Volume adjustments'!$J$481:$Y$521, Z$36 + 1 + $H54*$H$59, Z$37)</f>
        <v>5498.669920367186</v>
      </c>
      <c r="AA54" s="339">
        <f>INDEX('Volume adjustments'!$J$481:$Y$521, AA$36 + 1 + $H54*$H$59, AA$37)</f>
        <v>42945.256173017624</v>
      </c>
      <c r="AB54" s="339">
        <f>INDEX('Volume adjustments'!$J$481:$Y$521, AB$36 + 1 + $H54*$H$59, AB$37)</f>
        <v>0</v>
      </c>
      <c r="AC54" s="339">
        <f>INDEX('Volume adjustments'!$J$481:$Y$521, AC$36 + 1 + $H54*$H$59, AC$37)</f>
        <v>33932.3046589429</v>
      </c>
      <c r="AD54" s="339">
        <f>INDEX('Volume adjustments'!$J$481:$Y$521, AD$36 + 1 + $H54*$H$59, AD$37)</f>
        <v>94350.670140147355</v>
      </c>
      <c r="AE54" s="339">
        <f>INDEX('Volume adjustments'!$J$481:$Y$521, AE$36 + 1 + $H54*$H$59, AE$37)</f>
        <v>78996.980101108304</v>
      </c>
      <c r="AF54" s="339">
        <f>INDEX('Volume adjustments'!$J$481:$Y$521, AF$36 + 1 + $H54*$H$59, AF$37)</f>
        <v>158529.39533256378</v>
      </c>
      <c r="AG54" s="339">
        <f>INDEX('Volume adjustments'!$J$481:$Y$521, AG$36 + 1 + $H54*$H$59, AG$37)</f>
        <v>29317.628247349428</v>
      </c>
      <c r="AH54" s="339">
        <f>INDEX('Volume adjustments'!$J$481:$Y$521, AH$36 + 1 + $H54*$H$59, AH$37)</f>
        <v>3502.3381089269142</v>
      </c>
      <c r="AI54" s="339">
        <f>INDEX('Volume adjustments'!$J$481:$Y$521, AI$36 + 1 + $H54*$H$59, AI$37)</f>
        <v>1.391</v>
      </c>
      <c r="AJ54" s="339">
        <f>INDEX('Volume adjustments'!$J$481:$Y$521, AJ$36 + 1 + $H54*$H$59, AJ$37)</f>
        <v>177224.06606561315</v>
      </c>
      <c r="AK54" s="339">
        <f>INDEX('Volume adjustments'!$J$481:$Y$521, AK$36 + 1 + $H54*$H$59, AK$37)</f>
        <v>0</v>
      </c>
      <c r="AL54" s="339">
        <f>INDEX('Volume adjustments'!$J$481:$Y$521, AL$36 + 1 + $H54*$H$59, AL$37)</f>
        <v>1487.9755864997869</v>
      </c>
      <c r="AM54" s="339">
        <f>INDEX('Volume adjustments'!$J$481:$Y$521, AM$36 + 1 + $H54*$H$59, AM$37)</f>
        <v>0</v>
      </c>
      <c r="AN54" s="339">
        <f>INDEX('Volume adjustments'!$J$481:$Y$521, AN$36 + 1 + $H54*$H$59, AN$37)</f>
        <v>712457.12239743408</v>
      </c>
      <c r="AO54" s="339">
        <f>INDEX('Volume adjustments'!$J$481:$Y$521, AO$36 + 1 + $H54*$H$59, AO$37)</f>
        <v>0</v>
      </c>
    </row>
    <row r="55" spans="4:41" x14ac:dyDescent="0.35">
      <c r="D55" s="88"/>
      <c r="F55" t="s">
        <v>158</v>
      </c>
      <c r="G55" t="s">
        <v>207</v>
      </c>
      <c r="H55" s="376">
        <v>2</v>
      </c>
      <c r="J55" s="339">
        <f>INDEX('Volume adjustments'!$J$481:$Y$521, J$36 + 1 + $H55*$H$59, J$37)</f>
        <v>1018610.3392766328</v>
      </c>
      <c r="K55" s="339">
        <f>INDEX('Volume adjustments'!$J$481:$Y$521, K$36 + 1 + $H55*$H$59, K$37)</f>
        <v>211336.36964169086</v>
      </c>
      <c r="L55" s="339">
        <f>INDEX('Volume adjustments'!$J$481:$Y$521, L$36 + 1 + $H55*$H$59, L$37)</f>
        <v>0</v>
      </c>
      <c r="M55" s="339">
        <f>INDEX('Volume adjustments'!$J$481:$Y$521, M$36 + 1 + $H55*$H$59, M$37)</f>
        <v>12011.385288017098</v>
      </c>
      <c r="N55" s="339">
        <f>INDEX('Volume adjustments'!$J$481:$Y$521, N$36 + 1 + $H55*$H$59, N$37)</f>
        <v>57657.023222858697</v>
      </c>
      <c r="O55" s="339">
        <f>INDEX('Volume adjustments'!$J$481:$Y$521, O$36 + 1 + $H55*$H$59, O$37)</f>
        <v>80334.978328362035</v>
      </c>
      <c r="P55" s="339">
        <f>INDEX('Volume adjustments'!$J$481:$Y$521, P$36 + 1 + $H55*$H$59, P$37)</f>
        <v>212606.93273914693</v>
      </c>
      <c r="Q55" s="339">
        <f>INDEX('Volume adjustments'!$J$481:$Y$521, Q$36 + 1 + $H55*$H$59, Q$37)</f>
        <v>14290.612390057293</v>
      </c>
      <c r="R55" s="339">
        <f>INDEX('Volume adjustments'!$J$481:$Y$521, R$36 + 1 + $H55*$H$59, R$37)</f>
        <v>0</v>
      </c>
      <c r="S55" s="339">
        <f>INDEX('Volume adjustments'!$J$481:$Y$521, S$36 + 1 + $H55*$H$59, S$37)</f>
        <v>115268.67214816219</v>
      </c>
      <c r="T55" s="339">
        <f>INDEX('Volume adjustments'!$J$481:$Y$521, T$36 + 1 + $H55*$H$59, T$37)</f>
        <v>118422.54378127572</v>
      </c>
      <c r="U55" s="339">
        <f>INDEX('Volume adjustments'!$J$481:$Y$521, U$36 + 1 + $H55*$H$59, U$37)</f>
        <v>89540.552424913301</v>
      </c>
      <c r="V55" s="339">
        <f>INDEX('Volume adjustments'!$J$481:$Y$521, V$36 + 1 + $H55*$H$59, V$37)</f>
        <v>243723.13078113797</v>
      </c>
      <c r="W55" s="339">
        <f>INDEX('Volume adjustments'!$J$481:$Y$521, W$36 + 1 + $H55*$H$59, W$37)</f>
        <v>0</v>
      </c>
      <c r="X55" s="339">
        <f>INDEX('Volume adjustments'!$J$481:$Y$521, X$36 + 1 + $H55*$H$59, X$37)</f>
        <v>2954.5198116392717</v>
      </c>
      <c r="Y55" s="339">
        <f>INDEX('Volume adjustments'!$J$481:$Y$521, Y$36 + 1 + $H55*$H$59, Y$37)</f>
        <v>1812.1816831853994</v>
      </c>
      <c r="Z55" s="339">
        <f>INDEX('Volume adjustments'!$J$481:$Y$521, Z$36 + 1 + $H55*$H$59, Z$37)</f>
        <v>5368.8286556979356</v>
      </c>
      <c r="AA55" s="339">
        <f>INDEX('Volume adjustments'!$J$481:$Y$521, AA$36 + 1 + $H55*$H$59, AA$37)</f>
        <v>41931.18068679946</v>
      </c>
      <c r="AB55" s="339">
        <f>INDEX('Volume adjustments'!$J$481:$Y$521, AB$36 + 1 + $H55*$H$59, AB$37)</f>
        <v>0</v>
      </c>
      <c r="AC55" s="339">
        <f>INDEX('Volume adjustments'!$J$481:$Y$521, AC$36 + 1 + $H55*$H$59, AC$37)</f>
        <v>31488.690610051406</v>
      </c>
      <c r="AD55" s="339">
        <f>INDEX('Volume adjustments'!$J$481:$Y$521, AD$36 + 1 + $H55*$H$59, AD$37)</f>
        <v>87556.064663326979</v>
      </c>
      <c r="AE55" s="339">
        <f>INDEX('Volume adjustments'!$J$481:$Y$521, AE$36 + 1 + $H55*$H$59, AE$37)</f>
        <v>73308.061168683402</v>
      </c>
      <c r="AF55" s="339">
        <f>INDEX('Volume adjustments'!$J$481:$Y$521, AF$36 + 1 + $H55*$H$59, AF$37)</f>
        <v>147112.99843613809</v>
      </c>
      <c r="AG55" s="339">
        <f>INDEX('Volume adjustments'!$J$481:$Y$521, AG$36 + 1 + $H55*$H$59, AG$37)</f>
        <v>60946.957515069895</v>
      </c>
      <c r="AH55" s="339">
        <f>INDEX('Volume adjustments'!$J$481:$Y$521, AH$36 + 1 + $H55*$H$59, AH$37)</f>
        <v>2112.3642325825435</v>
      </c>
      <c r="AI55" s="339">
        <f>INDEX('Volume adjustments'!$J$481:$Y$521, AI$36 + 1 + $H55*$H$59, AI$37)</f>
        <v>0.64400000000000013</v>
      </c>
      <c r="AJ55" s="339">
        <f>INDEX('Volume adjustments'!$J$481:$Y$521, AJ$36 + 1 + $H55*$H$59, AJ$37)</f>
        <v>193113.18812858776</v>
      </c>
      <c r="AK55" s="339">
        <f>INDEX('Volume adjustments'!$J$481:$Y$521, AK$36 + 1 + $H55*$H$59, AK$37)</f>
        <v>0</v>
      </c>
      <c r="AL55" s="339">
        <f>INDEX('Volume adjustments'!$J$481:$Y$521, AL$36 + 1 + $H55*$H$59, AL$37)</f>
        <v>1570.8366193548386</v>
      </c>
      <c r="AM55" s="339">
        <f>INDEX('Volume adjustments'!$J$481:$Y$521, AM$36 + 1 + $H55*$H$59, AM$37)</f>
        <v>0</v>
      </c>
      <c r="AN55" s="339">
        <f>INDEX('Volume adjustments'!$J$481:$Y$521, AN$36 + 1 + $H55*$H$59, AN$37)</f>
        <v>746890.70756556396</v>
      </c>
      <c r="AO55" s="339">
        <f>INDEX('Volume adjustments'!$J$481:$Y$521, AO$36 + 1 + $H55*$H$59, AO$37)</f>
        <v>0</v>
      </c>
    </row>
    <row r="56" spans="4:41" x14ac:dyDescent="0.35">
      <c r="D56" s="88"/>
      <c r="F56" t="s">
        <v>212</v>
      </c>
      <c r="G56" t="s">
        <v>212</v>
      </c>
      <c r="H56" s="376">
        <v>3</v>
      </c>
      <c r="J56" s="339">
        <f>INDEX('Volume adjustments'!$J$481:$Y$521, J$36 + 1 + $H56*$H$59, J$37)</f>
        <v>712324.84882153419</v>
      </c>
      <c r="K56" s="339">
        <f>INDEX('Volume adjustments'!$J$481:$Y$521, K$36 + 1 + $H56*$H$59, K$37)</f>
        <v>72371.122331145176</v>
      </c>
      <c r="L56" s="339">
        <f>INDEX('Volume adjustments'!$J$481:$Y$521, L$36 + 1 + $H56*$H$59, L$37)</f>
        <v>0</v>
      </c>
      <c r="M56" s="339">
        <f>INDEX('Volume adjustments'!$J$481:$Y$521, M$36 + 1 + $H56*$H$59, M$37)</f>
        <v>28329.108328901191</v>
      </c>
      <c r="N56" s="339">
        <f>INDEX('Volume adjustments'!$J$481:$Y$521, N$36 + 1 + $H56*$H$59, N$37)</f>
        <v>22980.280138707854</v>
      </c>
      <c r="O56" s="339">
        <f>INDEX('Volume adjustments'!$J$481:$Y$521, O$36 + 1 + $H56*$H$59, O$37)</f>
        <v>12975.537490776003</v>
      </c>
      <c r="P56" s="339">
        <f>INDEX('Volume adjustments'!$J$481:$Y$521, P$36 + 1 + $H56*$H$59, P$37)</f>
        <v>10495.022784677198</v>
      </c>
      <c r="Q56" s="339">
        <f>INDEX('Volume adjustments'!$J$481:$Y$521, Q$36 + 1 + $H56*$H$59, Q$37)</f>
        <v>2436.905804440873</v>
      </c>
      <c r="R56" s="339">
        <f>INDEX('Volume adjustments'!$J$481:$Y$521, R$36 + 1 + $H56*$H$59, R$37)</f>
        <v>0</v>
      </c>
      <c r="S56" s="339">
        <f>INDEX('Volume adjustments'!$J$481:$Y$521, S$36 + 1 + $H56*$H$59, S$37)</f>
        <v>3245.1797450643903</v>
      </c>
      <c r="T56" s="339">
        <f>INDEX('Volume adjustments'!$J$481:$Y$521, T$36 + 1 + $H56*$H$59, T$37)</f>
        <v>1746.676460321436</v>
      </c>
      <c r="U56" s="339">
        <f>INDEX('Volume adjustments'!$J$481:$Y$521, U$36 + 1 + $H56*$H$59, U$37)</f>
        <v>803.40807687271354</v>
      </c>
      <c r="V56" s="339">
        <f>INDEX('Volume adjustments'!$J$481:$Y$521, V$36 + 1 + $H56*$H$59, V$37)</f>
        <v>986.38321479922172</v>
      </c>
      <c r="W56" s="339">
        <f>INDEX('Volume adjustments'!$J$481:$Y$521, W$36 + 1 + $H56*$H$59, W$37)</f>
        <v>0</v>
      </c>
      <c r="X56" s="339">
        <f>INDEX('Volume adjustments'!$J$481:$Y$521, X$36 + 1 + $H56*$H$59, X$37)</f>
        <v>9.9463413549057211</v>
      </c>
      <c r="Y56" s="339">
        <f>INDEX('Volume adjustments'!$J$481:$Y$521, Y$36 + 1 + $H56*$H$59, Y$37)</f>
        <v>13.261788473207631</v>
      </c>
      <c r="Z56" s="339">
        <f>INDEX('Volume adjustments'!$J$481:$Y$521, Z$36 + 1 + $H56*$H$59, Z$37)</f>
        <v>26.523576946415261</v>
      </c>
      <c r="AA56" s="339">
        <f>INDEX('Volume adjustments'!$J$481:$Y$521, AA$36 + 1 + $H56*$H$59, AA$37)</f>
        <v>71.834687563207993</v>
      </c>
      <c r="AB56" s="339">
        <f>INDEX('Volume adjustments'!$J$481:$Y$521, AB$36 + 1 + $H56*$H$59, AB$37)</f>
        <v>0</v>
      </c>
      <c r="AC56" s="339">
        <f>INDEX('Volume adjustments'!$J$481:$Y$521, AC$36 + 1 + $H56*$H$59, AC$37)</f>
        <v>429.93232794509885</v>
      </c>
      <c r="AD56" s="339">
        <f>INDEX('Volume adjustments'!$J$481:$Y$521, AD$36 + 1 + $H56*$H$59, AD$37)</f>
        <v>153.6209037501672</v>
      </c>
      <c r="AE56" s="339">
        <f>INDEX('Volume adjustments'!$J$481:$Y$521, AE$36 + 1 + $H56*$H$59, AE$37)</f>
        <v>59.798741057112068</v>
      </c>
      <c r="AF56" s="339">
        <f>INDEX('Volume adjustments'!$J$481:$Y$521, AF$36 + 1 + $H56*$H$59, AF$37)</f>
        <v>54.643677172878263</v>
      </c>
      <c r="AG56" s="339">
        <f>INDEX('Volume adjustments'!$J$481:$Y$521, AG$36 + 1 + $H56*$H$59, AG$37)</f>
        <v>1889.7423367815629</v>
      </c>
      <c r="AH56" s="339">
        <f>INDEX('Volume adjustments'!$J$481:$Y$521, AH$36 + 1 + $H56*$H$59, AH$37)</f>
        <v>376.80645161290334</v>
      </c>
      <c r="AI56" s="339">
        <f>INDEX('Volume adjustments'!$J$481:$Y$521, AI$36 + 1 + $H56*$H$59, AI$37)</f>
        <v>1</v>
      </c>
      <c r="AJ56" s="339">
        <f>INDEX('Volume adjustments'!$J$481:$Y$521, AJ$36 + 1 + $H56*$H$59, AJ$37)</f>
        <v>812.9295222209638</v>
      </c>
      <c r="AK56" s="339">
        <f>INDEX('Volume adjustments'!$J$481:$Y$521, AK$36 + 1 + $H56*$H$59, AK$37)</f>
        <v>0</v>
      </c>
      <c r="AL56" s="339">
        <f>INDEX('Volume adjustments'!$J$481:$Y$521, AL$36 + 1 + $H56*$H$59, AL$37)</f>
        <v>2</v>
      </c>
      <c r="AM56" s="339">
        <f>INDEX('Volume adjustments'!$J$481:$Y$521, AM$36 + 1 + $H56*$H$59, AM$37)</f>
        <v>0</v>
      </c>
      <c r="AN56" s="339">
        <f>INDEX('Volume adjustments'!$J$481:$Y$521, AN$36 + 1 + $H56*$H$59, AN$37)</f>
        <v>348.45161290322585</v>
      </c>
      <c r="AO56" s="339">
        <f>INDEX('Volume adjustments'!$J$481:$Y$521, AO$36 + 1 + $H56*$H$59, AO$37)</f>
        <v>0</v>
      </c>
    </row>
    <row r="57" spans="4:41" x14ac:dyDescent="0.35">
      <c r="D57" s="88"/>
      <c r="F57" t="s">
        <v>736</v>
      </c>
      <c r="G57" t="s">
        <v>251</v>
      </c>
      <c r="H57" s="376">
        <v>4</v>
      </c>
      <c r="J57" s="339">
        <f>INDEX('Volume adjustments'!$J$481:$Y$521, J$36 + 1 + $H57*$H$59, J$37)</f>
        <v>0</v>
      </c>
      <c r="K57" s="339">
        <f>INDEX('Volume adjustments'!$J$481:$Y$521, K$36 + 1 + $H57*$H$59, K$37)</f>
        <v>0</v>
      </c>
      <c r="L57" s="339">
        <f>INDEX('Volume adjustments'!$J$481:$Y$521, L$36 + 1 + $H57*$H$59, L$37)</f>
        <v>0</v>
      </c>
      <c r="M57" s="339">
        <f>INDEX('Volume adjustments'!$J$481:$Y$521, M$36 + 1 + $H57*$H$59, M$37)</f>
        <v>0</v>
      </c>
      <c r="N57" s="339">
        <f>INDEX('Volume adjustments'!$J$481:$Y$521, N$36 + 1 + $H57*$H$59, N$37)</f>
        <v>0</v>
      </c>
      <c r="O57" s="339">
        <f>INDEX('Volume adjustments'!$J$481:$Y$521, O$36 + 1 + $H57*$H$59, O$37)</f>
        <v>0</v>
      </c>
      <c r="P57" s="339">
        <f>INDEX('Volume adjustments'!$J$481:$Y$521, P$36 + 1 + $H57*$H$59, P$37)</f>
        <v>0</v>
      </c>
      <c r="Q57" s="339">
        <f>INDEX('Volume adjustments'!$J$481:$Y$521, Q$36 + 1 + $H57*$H$59, Q$37)</f>
        <v>0</v>
      </c>
      <c r="R57" s="339">
        <f>INDEX('Volume adjustments'!$J$481:$Y$521, R$36 + 1 + $H57*$H$59, R$37)</f>
        <v>0</v>
      </c>
      <c r="S57" s="339">
        <f>INDEX('Volume adjustments'!$J$481:$Y$521, S$36 + 1 + $H57*$H$59, S$37)</f>
        <v>179552.46184599484</v>
      </c>
      <c r="T57" s="339">
        <f>INDEX('Volume adjustments'!$J$481:$Y$521, T$36 + 1 + $H57*$H$59, T$37)</f>
        <v>184465.20531322155</v>
      </c>
      <c r="U57" s="339">
        <f>INDEX('Volume adjustments'!$J$481:$Y$521, U$36 + 1 + $H57*$H$59, U$37)</f>
        <v>139476.11543818653</v>
      </c>
      <c r="V57" s="339">
        <f>INDEX('Volume adjustments'!$J$481:$Y$521, V$36 + 1 + $H57*$H$59, V$37)</f>
        <v>379644.24613409064</v>
      </c>
      <c r="W57" s="339">
        <f>INDEX('Volume adjustments'!$J$481:$Y$521, W$36 + 1 + $H57*$H$59, W$37)</f>
        <v>0</v>
      </c>
      <c r="X57" s="339">
        <f>INDEX('Volume adjustments'!$J$481:$Y$521, X$36 + 1 + $H57*$H$59, X$37)</f>
        <v>2496.06709449353</v>
      </c>
      <c r="Y57" s="339">
        <f>INDEX('Volume adjustments'!$J$481:$Y$521, Y$36 + 1 + $H57*$H$59, Y$37)</f>
        <v>1530.9855262514805</v>
      </c>
      <c r="Z57" s="339">
        <f>INDEX('Volume adjustments'!$J$481:$Y$521, Z$36 + 1 + $H57*$H$59, Z$37)</f>
        <v>4535.7477349343717</v>
      </c>
      <c r="AA57" s="339">
        <f>INDEX('Volume adjustments'!$J$481:$Y$521, AA$36 + 1 + $H57*$H$59, AA$37)</f>
        <v>35424.721111452629</v>
      </c>
      <c r="AB57" s="339">
        <f>INDEX('Volume adjustments'!$J$481:$Y$521, AB$36 + 1 + $H57*$H$59, AB$37)</f>
        <v>0</v>
      </c>
      <c r="AC57" s="339">
        <f>INDEX('Volume adjustments'!$J$481:$Y$521, AC$36 + 1 + $H57*$H$59, AC$37)</f>
        <v>37661.775053581994</v>
      </c>
      <c r="AD57" s="339">
        <f>INDEX('Volume adjustments'!$J$481:$Y$521, AD$36 + 1 + $H57*$H$59, AD$37)</f>
        <v>104720.6710740303</v>
      </c>
      <c r="AE57" s="339">
        <f>INDEX('Volume adjustments'!$J$481:$Y$521, AE$36 + 1 + $H57*$H$59, AE$37)</f>
        <v>87679.470179934404</v>
      </c>
      <c r="AF57" s="339">
        <f>INDEX('Volume adjustments'!$J$481:$Y$521, AF$36 + 1 + $H57*$H$59, AF$37)</f>
        <v>175953.22470446629</v>
      </c>
      <c r="AG57" s="339">
        <f>INDEX('Volume adjustments'!$J$481:$Y$521, AG$36 + 1 + $H57*$H$59, AG$37)</f>
        <v>0</v>
      </c>
      <c r="AH57" s="339">
        <f>INDEX('Volume adjustments'!$J$481:$Y$521, AH$36 + 1 + $H57*$H$59, AH$37)</f>
        <v>0</v>
      </c>
      <c r="AI57" s="339">
        <f>INDEX('Volume adjustments'!$J$481:$Y$521, AI$36 + 1 + $H57*$H$59, AI$37)</f>
        <v>0</v>
      </c>
      <c r="AJ57" s="339">
        <f>INDEX('Volume adjustments'!$J$481:$Y$521, AJ$36 + 1 + $H57*$H$59, AJ$37)</f>
        <v>0</v>
      </c>
      <c r="AK57" s="339">
        <f>INDEX('Volume adjustments'!$J$481:$Y$521, AK$36 + 1 + $H57*$H$59, AK$37)</f>
        <v>0</v>
      </c>
      <c r="AL57" s="339">
        <f>INDEX('Volume adjustments'!$J$481:$Y$521, AL$36 + 1 + $H57*$H$59, AL$37)</f>
        <v>0</v>
      </c>
      <c r="AM57" s="339">
        <f>INDEX('Volume adjustments'!$J$481:$Y$521, AM$36 + 1 + $H57*$H$59, AM$37)</f>
        <v>0</v>
      </c>
      <c r="AN57" s="339">
        <f>INDEX('Volume adjustments'!$J$481:$Y$521, AN$36 + 1 + $H57*$H$59, AN$37)</f>
        <v>0</v>
      </c>
      <c r="AO57" s="339">
        <f>INDEX('Volume adjustments'!$J$481:$Y$521, AO$36 + 1 + $H57*$H$59, AO$37)</f>
        <v>0</v>
      </c>
    </row>
    <row r="58" spans="4:41" x14ac:dyDescent="0.35">
      <c r="D58" s="88"/>
      <c r="F58" t="s">
        <v>252</v>
      </c>
      <c r="G58" t="s">
        <v>251</v>
      </c>
      <c r="H58" s="376">
        <v>5</v>
      </c>
      <c r="J58" s="339">
        <f>INDEX('Volume adjustments'!$J$481:$Y$521, J$36 + 1 + $H58*$H$59, J$37)</f>
        <v>0</v>
      </c>
      <c r="K58" s="339">
        <f>INDEX('Volume adjustments'!$J$481:$Y$521, K$36 + 1 + $H58*$H$59, K$37)</f>
        <v>0</v>
      </c>
      <c r="L58" s="339">
        <f>INDEX('Volume adjustments'!$J$481:$Y$521, L$36 + 1 + $H58*$H$59, L$37)</f>
        <v>0</v>
      </c>
      <c r="M58" s="339">
        <f>INDEX('Volume adjustments'!$J$481:$Y$521, M$36 + 1 + $H58*$H$59, M$37)</f>
        <v>0</v>
      </c>
      <c r="N58" s="339">
        <f>INDEX('Volume adjustments'!$J$481:$Y$521, N$36 + 1 + $H58*$H$59, N$37)</f>
        <v>0</v>
      </c>
      <c r="O58" s="339">
        <f>INDEX('Volume adjustments'!$J$481:$Y$521, O$36 + 1 + $H58*$H$59, O$37)</f>
        <v>0</v>
      </c>
      <c r="P58" s="339">
        <f>INDEX('Volume adjustments'!$J$481:$Y$521, P$36 + 1 + $H58*$H$59, P$37)</f>
        <v>0</v>
      </c>
      <c r="Q58" s="339">
        <f>INDEX('Volume adjustments'!$J$481:$Y$521, Q$36 + 1 + $H58*$H$59, Q$37)</f>
        <v>0</v>
      </c>
      <c r="R58" s="339">
        <f>INDEX('Volume adjustments'!$J$481:$Y$521, R$36 + 1 + $H58*$H$59, R$37)</f>
        <v>0</v>
      </c>
      <c r="S58" s="339">
        <f>INDEX('Volume adjustments'!$J$481:$Y$521, S$36 + 1 + $H58*$H$59, S$37)</f>
        <v>3638.3527599389272</v>
      </c>
      <c r="T58" s="339">
        <f>INDEX('Volume adjustments'!$J$481:$Y$521, T$36 + 1 + $H58*$H$59, T$37)</f>
        <v>3737.9019032315841</v>
      </c>
      <c r="U58" s="339">
        <f>INDEX('Volume adjustments'!$J$481:$Y$521, U$36 + 1 + $H58*$H$59, U$37)</f>
        <v>2826.2676230267789</v>
      </c>
      <c r="V58" s="339">
        <f>INDEX('Volume adjustments'!$J$481:$Y$521, V$36 + 1 + $H58*$H$59, V$37)</f>
        <v>7692.9031020563161</v>
      </c>
      <c r="W58" s="339">
        <f>INDEX('Volume adjustments'!$J$481:$Y$521, W$36 + 1 + $H58*$H$59, W$37)</f>
        <v>0</v>
      </c>
      <c r="X58" s="339">
        <f>INDEX('Volume adjustments'!$J$481:$Y$521, X$36 + 1 + $H58*$H$59, X$37)</f>
        <v>74.370999092084375</v>
      </c>
      <c r="Y58" s="339">
        <f>INDEX('Volume adjustments'!$J$481:$Y$521, Y$36 + 1 + $H58*$H$59, Y$37)</f>
        <v>45.616130846012524</v>
      </c>
      <c r="Z58" s="339">
        <f>INDEX('Volume adjustments'!$J$481:$Y$521, Z$36 + 1 + $H58*$H$59, Z$37)</f>
        <v>135.14383945082781</v>
      </c>
      <c r="AA58" s="339">
        <f>INDEX('Volume adjustments'!$J$481:$Y$521, AA$36 + 1 + $H58*$H$59, AA$37)</f>
        <v>1055.489216387334</v>
      </c>
      <c r="AB58" s="339">
        <f>INDEX('Volume adjustments'!$J$481:$Y$521, AB$36 + 1 + $H58*$H$59, AB$37)</f>
        <v>0</v>
      </c>
      <c r="AC58" s="339">
        <f>INDEX('Volume adjustments'!$J$481:$Y$521, AC$36 + 1 + $H58*$H$59, AC$37)</f>
        <v>958.76253773084238</v>
      </c>
      <c r="AD58" s="339">
        <f>INDEX('Volume adjustments'!$J$481:$Y$521, AD$36 + 1 + $H58*$H$59, AD$37)</f>
        <v>2665.892837206166</v>
      </c>
      <c r="AE58" s="339">
        <f>INDEX('Volume adjustments'!$J$481:$Y$521, AE$36 + 1 + $H58*$H$59, AE$37)</f>
        <v>2232.0719407678152</v>
      </c>
      <c r="AF58" s="339">
        <f>INDEX('Volume adjustments'!$J$481:$Y$521, AF$36 + 1 + $H58*$H$59, AF$37)</f>
        <v>4479.2726842951743</v>
      </c>
      <c r="AG58" s="339">
        <f>INDEX('Volume adjustments'!$J$481:$Y$521, AG$36 + 1 + $H58*$H$59, AG$37)</f>
        <v>0</v>
      </c>
      <c r="AH58" s="339">
        <f>INDEX('Volume adjustments'!$J$481:$Y$521, AH$36 + 1 + $H58*$H$59, AH$37)</f>
        <v>0</v>
      </c>
      <c r="AI58" s="339">
        <f>INDEX('Volume adjustments'!$J$481:$Y$521, AI$36 + 1 + $H58*$H$59, AI$37)</f>
        <v>0</v>
      </c>
      <c r="AJ58" s="339">
        <f>INDEX('Volume adjustments'!$J$481:$Y$521, AJ$36 + 1 + $H58*$H$59, AJ$37)</f>
        <v>0</v>
      </c>
      <c r="AK58" s="339">
        <f>INDEX('Volume adjustments'!$J$481:$Y$521, AK$36 + 1 + $H58*$H$59, AK$37)</f>
        <v>0</v>
      </c>
      <c r="AL58" s="339">
        <f>INDEX('Volume adjustments'!$J$481:$Y$521, AL$36 + 1 + $H58*$H$59, AL$37)</f>
        <v>0</v>
      </c>
      <c r="AM58" s="339">
        <f>INDEX('Volume adjustments'!$J$481:$Y$521, AM$36 + 1 + $H58*$H$59, AM$37)</f>
        <v>0</v>
      </c>
      <c r="AN58" s="339">
        <f>INDEX('Volume adjustments'!$J$481:$Y$521, AN$36 + 1 + $H58*$H$59, AN$37)</f>
        <v>0</v>
      </c>
      <c r="AO58" s="339">
        <f>INDEX('Volume adjustments'!$J$481:$Y$521, AO$36 + 1 + $H58*$H$59, AO$37)</f>
        <v>0</v>
      </c>
    </row>
    <row r="59" spans="4:41" x14ac:dyDescent="0.35">
      <c r="D59" s="88"/>
      <c r="F59" s="37" t="s">
        <v>215</v>
      </c>
      <c r="G59" s="67" t="s">
        <v>254</v>
      </c>
      <c r="H59" s="326">
        <v>6</v>
      </c>
      <c r="I59" s="37"/>
      <c r="J59" s="195">
        <f>INDEX('Volume adjustments'!$J$481:$Y$521, J$36 + 1 + $H59*$H$59, J$37)</f>
        <v>0</v>
      </c>
      <c r="K59" s="195">
        <f>INDEX('Volume adjustments'!$J$481:$Y$521, K$36 + 1 + $H59*$H$59, K$37)</f>
        <v>0</v>
      </c>
      <c r="L59" s="195">
        <f>INDEX('Volume adjustments'!$J$481:$Y$521, L$36 + 1 + $H59*$H$59, L$37)</f>
        <v>0</v>
      </c>
      <c r="M59" s="195">
        <f>INDEX('Volume adjustments'!$J$481:$Y$521, M$36 + 1 + $H59*$H$59, M$37)</f>
        <v>0</v>
      </c>
      <c r="N59" s="195">
        <f>INDEX('Volume adjustments'!$J$481:$Y$521, N$36 + 1 + $H59*$H$59, N$37)</f>
        <v>0</v>
      </c>
      <c r="O59" s="195">
        <f>INDEX('Volume adjustments'!$J$481:$Y$521, O$36 + 1 + $H59*$H$59, O$37)</f>
        <v>0</v>
      </c>
      <c r="P59" s="195">
        <f>INDEX('Volume adjustments'!$J$481:$Y$521, P$36 + 1 + $H59*$H$59, P$37)</f>
        <v>0</v>
      </c>
      <c r="Q59" s="195">
        <f>INDEX('Volume adjustments'!$J$481:$Y$521, Q$36 + 1 + $H59*$H$59, Q$37)</f>
        <v>0</v>
      </c>
      <c r="R59" s="195">
        <f>INDEX('Volume adjustments'!$J$481:$Y$521, R$36 + 1 + $H59*$H$59, R$37)</f>
        <v>0</v>
      </c>
      <c r="S59" s="195">
        <f>INDEX('Volume adjustments'!$J$481:$Y$521, S$36 + 1 + $H59*$H$59, S$37)</f>
        <v>33456.426829632837</v>
      </c>
      <c r="T59" s="195">
        <f>INDEX('Volume adjustments'!$J$481:$Y$521, T$36 + 1 + $H59*$H$59, T$37)</f>
        <v>34371.829718873109</v>
      </c>
      <c r="U59" s="195">
        <f>INDEX('Volume adjustments'!$J$481:$Y$521, U$36 + 1 + $H59*$H$59, U$37)</f>
        <v>25988.908214700699</v>
      </c>
      <c r="V59" s="195">
        <f>INDEX('Volume adjustments'!$J$481:$Y$521, V$36 + 1 + $H59*$H$59, V$37)</f>
        <v>70739.993267096754</v>
      </c>
      <c r="W59" s="195">
        <f>INDEX('Volume adjustments'!$J$481:$Y$521, W$36 + 1 + $H59*$H$59, W$37)</f>
        <v>0</v>
      </c>
      <c r="X59" s="195">
        <f>INDEX('Volume adjustments'!$J$481:$Y$521, X$36 + 1 + $H59*$H$59, X$37)</f>
        <v>502.20256164819767</v>
      </c>
      <c r="Y59" s="195">
        <f>INDEX('Volume adjustments'!$J$481:$Y$521, Y$36 + 1 + $H59*$H$59, Y$37)</f>
        <v>308.03052322830916</v>
      </c>
      <c r="Z59" s="195">
        <f>INDEX('Volume adjustments'!$J$481:$Y$521, Z$36 + 1 + $H59*$H$59, Z$37)</f>
        <v>912.58129098338452</v>
      </c>
      <c r="AA59" s="195">
        <f>INDEX('Volume adjustments'!$J$481:$Y$521, AA$36 + 1 + $H59*$H$59, AA$37)</f>
        <v>7127.3667791587523</v>
      </c>
      <c r="AB59" s="195">
        <f>INDEX('Volume adjustments'!$J$481:$Y$521, AB$36 + 1 + $H59*$H$59, AB$37)</f>
        <v>0</v>
      </c>
      <c r="AC59" s="195">
        <f>INDEX('Volume adjustments'!$J$481:$Y$521, AC$36 + 1 + $H59*$H$59, AC$37)</f>
        <v>12541.854171679766</v>
      </c>
      <c r="AD59" s="195">
        <f>INDEX('Volume adjustments'!$J$481:$Y$521, AD$36 + 1 + $H59*$H$59, AD$37)</f>
        <v>34873.326695365504</v>
      </c>
      <c r="AE59" s="195">
        <f>INDEX('Volume adjustments'!$J$481:$Y$521, AE$36 + 1 + $H59*$H$59, AE$37)</f>
        <v>29198.388214107654</v>
      </c>
      <c r="AF59" s="195">
        <f>INDEX('Volume adjustments'!$J$481:$Y$521, AF$36 + 1 + $H59*$H$59, AF$37)</f>
        <v>58594.680737713454</v>
      </c>
      <c r="AG59" s="195">
        <f>INDEX('Volume adjustments'!$J$481:$Y$521, AG$36 + 1 + $H59*$H$59, AG$37)</f>
        <v>0</v>
      </c>
      <c r="AH59" s="195">
        <f>INDEX('Volume adjustments'!$J$481:$Y$521, AH$36 + 1 + $H59*$H$59, AH$37)</f>
        <v>0</v>
      </c>
      <c r="AI59" s="195">
        <f>INDEX('Volume adjustments'!$J$481:$Y$521, AI$36 + 1 + $H59*$H$59, AI$37)</f>
        <v>0</v>
      </c>
      <c r="AJ59" s="195">
        <f>INDEX('Volume adjustments'!$J$481:$Y$521, AJ$36 + 1 + $H59*$H$59, AJ$37)</f>
        <v>12161.310051003624</v>
      </c>
      <c r="AK59" s="195">
        <f>INDEX('Volume adjustments'!$J$481:$Y$521, AK$36 + 1 + $H59*$H$59, AK$37)</f>
        <v>0</v>
      </c>
      <c r="AL59" s="195">
        <f>INDEX('Volume adjustments'!$J$481:$Y$521, AL$36 + 1 + $H59*$H$59, AL$37)</f>
        <v>0</v>
      </c>
      <c r="AM59" s="195">
        <f>INDEX('Volume adjustments'!$J$481:$Y$521, AM$36 + 1 + $H59*$H$59, AM$37)</f>
        <v>0</v>
      </c>
      <c r="AN59" s="195">
        <f>INDEX('Volume adjustments'!$J$481:$Y$521, AN$36 + 1 + $H59*$H$59, AN$37)</f>
        <v>36125.02323166062</v>
      </c>
      <c r="AO59" s="195">
        <f>INDEX('Volume adjustments'!$J$481:$Y$521, AO$36 + 1 + $H59*$H$59, AO$37)</f>
        <v>0</v>
      </c>
    </row>
    <row r="60" spans="4:41" x14ac:dyDescent="0.35">
      <c r="D60" s="88"/>
      <c r="F60" s="2"/>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x14ac:dyDescent="0.35">
      <c r="D61" s="88"/>
      <c r="E61" t="s">
        <v>737</v>
      </c>
      <c r="G61" t="s">
        <v>277</v>
      </c>
      <c r="H61" s="120">
        <f>'General inputs'!$H$87</f>
        <v>248166603.79797688</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4:41" x14ac:dyDescent="0.35">
      <c r="D62" s="88"/>
      <c r="E62"/>
      <c r="H62" s="120"/>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4:41" x14ac:dyDescent="0.35">
      <c r="D63" s="88"/>
      <c r="E63" s="32" t="s">
        <v>875</v>
      </c>
      <c r="H63" s="120"/>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4:41" x14ac:dyDescent="0.35">
      <c r="D64" s="88"/>
      <c r="F64" s="23" t="s">
        <v>873</v>
      </c>
      <c r="G64" s="23" t="s">
        <v>277</v>
      </c>
      <c r="H64" s="124">
        <f>'General inputs'!$H$53</f>
        <v>25848144.288034882</v>
      </c>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2:43" x14ac:dyDescent="0.35">
      <c r="C65" s="88"/>
      <c r="F65" s="37" t="s">
        <v>874</v>
      </c>
      <c r="G65" s="37" t="s">
        <v>277</v>
      </c>
      <c r="H65" s="125">
        <f>'General inputs'!$H$54</f>
        <v>145062.72659518197</v>
      </c>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2:43" x14ac:dyDescent="0.35">
      <c r="C66" s="8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row>
    <row r="67" spans="2:43" x14ac:dyDescent="0.35">
      <c r="C67" s="88"/>
      <c r="E67" t="s">
        <v>888</v>
      </c>
      <c r="G67" t="s">
        <v>277</v>
      </c>
      <c r="H67" s="98">
        <f>H61 - H64 - H65</f>
        <v>222173396.7833468</v>
      </c>
      <c r="I67" t="s">
        <v>154</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Q67" t="s">
        <v>898</v>
      </c>
    </row>
    <row r="68" spans="2:43" x14ac:dyDescent="0.35">
      <c r="C68" s="88"/>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x14ac:dyDescent="0.35">
      <c r="C69" s="31" t="str">
        <f ca="1">INDEX('Version control'!$H$34:$H$57,MATCH($A$1,'Version control'!$F$34:$F$57,0),1)&amp;"-B: Net revenue before matching"</f>
        <v>Section 116-B: Net revenue before matching</v>
      </c>
      <c r="D69" s="31"/>
      <c r="E69" s="31"/>
      <c r="F69" s="31"/>
      <c r="G69" s="31"/>
      <c r="H69" s="31"/>
      <c r="I69" s="31"/>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31"/>
      <c r="AQ69" s="31"/>
    </row>
    <row r="70" spans="2:43" x14ac:dyDescent="0.35">
      <c r="C70" s="29"/>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x14ac:dyDescent="0.35">
      <c r="B71" s="29"/>
      <c r="D71" s="29" t="s">
        <v>738</v>
      </c>
      <c r="F71" s="2"/>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row r="72" spans="2:43" x14ac:dyDescent="0.35">
      <c r="D72" s="29" t="s">
        <v>739</v>
      </c>
      <c r="F72" s="2"/>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row>
    <row r="73" spans="2:43" x14ac:dyDescent="0.35">
      <c r="D73" s="29"/>
      <c r="F73" s="2"/>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43" x14ac:dyDescent="0.35">
      <c r="D74"/>
      <c r="E74" s="32" t="s">
        <v>740</v>
      </c>
      <c r="F74" s="32"/>
      <c r="H74" s="128" t="s">
        <v>545</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row>
    <row r="75" spans="2:43" x14ac:dyDescent="0.35">
      <c r="D75" s="88"/>
      <c r="F75" s="23" t="s">
        <v>156</v>
      </c>
      <c r="G75" s="23" t="s">
        <v>277</v>
      </c>
      <c r="H75" s="158">
        <f t="shared" ref="H75:H82" si="8">SUM(J75:AO75)</f>
        <v>45128222.315082848</v>
      </c>
      <c r="I75" s="129"/>
      <c r="J75" s="322">
        <f t="shared" ref="J75:AO75" si="9">J53 * thousand * J40 / hundred</f>
        <v>28416749.156641454</v>
      </c>
      <c r="K75" s="322">
        <f t="shared" si="9"/>
        <v>822905.50358205871</v>
      </c>
      <c r="L75" s="322">
        <f t="shared" si="9"/>
        <v>0</v>
      </c>
      <c r="M75" s="322">
        <f t="shared" si="9"/>
        <v>346013.55237014062</v>
      </c>
      <c r="N75" s="322">
        <f t="shared" si="9"/>
        <v>1660933.4349079481</v>
      </c>
      <c r="O75" s="322">
        <f t="shared" si="9"/>
        <v>2314220.2638946138</v>
      </c>
      <c r="P75" s="322">
        <f t="shared" si="9"/>
        <v>6124595.8140217364</v>
      </c>
      <c r="Q75" s="322">
        <f t="shared" si="9"/>
        <v>45717.785389756951</v>
      </c>
      <c r="R75" s="322">
        <f t="shared" si="9"/>
        <v>0</v>
      </c>
      <c r="S75" s="322">
        <f t="shared" si="9"/>
        <v>2087469.7365224629</v>
      </c>
      <c r="T75" s="322">
        <f t="shared" si="9"/>
        <v>2144585.0954860747</v>
      </c>
      <c r="U75" s="322">
        <f t="shared" si="9"/>
        <v>1621543.7368642369</v>
      </c>
      <c r="V75" s="322">
        <f t="shared" si="9"/>
        <v>4413728.813863528</v>
      </c>
      <c r="W75" s="322">
        <f t="shared" si="9"/>
        <v>0</v>
      </c>
      <c r="X75" s="322">
        <f t="shared" si="9"/>
        <v>24013.842009919474</v>
      </c>
      <c r="Y75" s="322">
        <f t="shared" si="9"/>
        <v>14729.109096458931</v>
      </c>
      <c r="Z75" s="322">
        <f t="shared" si="9"/>
        <v>43636.939785733157</v>
      </c>
      <c r="AA75" s="322">
        <f t="shared" si="9"/>
        <v>340809.61120497942</v>
      </c>
      <c r="AB75" s="322">
        <f t="shared" si="9"/>
        <v>0</v>
      </c>
      <c r="AC75" s="322">
        <f t="shared" si="9"/>
        <v>180066.76458612431</v>
      </c>
      <c r="AD75" s="322">
        <f t="shared" si="9"/>
        <v>500685.70583199104</v>
      </c>
      <c r="AE75" s="322">
        <f t="shared" si="9"/>
        <v>419209.09180367365</v>
      </c>
      <c r="AF75" s="322">
        <f t="shared" si="9"/>
        <v>841259.54886492225</v>
      </c>
      <c r="AG75" s="322">
        <f t="shared" si="9"/>
        <v>994264.36311706423</v>
      </c>
      <c r="AH75" s="322">
        <f t="shared" si="9"/>
        <v>-44060.633732855553</v>
      </c>
      <c r="AI75" s="322">
        <f t="shared" si="9"/>
        <v>-12.066262290921459</v>
      </c>
      <c r="AJ75" s="322">
        <f t="shared" si="9"/>
        <v>-2506978.9787502387</v>
      </c>
      <c r="AK75" s="322">
        <f t="shared" si="9"/>
        <v>0</v>
      </c>
      <c r="AL75" s="322">
        <f t="shared" si="9"/>
        <v>-19651.737737417712</v>
      </c>
      <c r="AM75" s="322">
        <f t="shared" si="9"/>
        <v>0</v>
      </c>
      <c r="AN75" s="322">
        <f t="shared" si="9"/>
        <v>-5658212.1382792378</v>
      </c>
      <c r="AO75" s="322">
        <f t="shared" si="9"/>
        <v>0</v>
      </c>
    </row>
    <row r="76" spans="2:43" x14ac:dyDescent="0.35">
      <c r="D76" s="88"/>
      <c r="F76" t="s">
        <v>157</v>
      </c>
      <c r="G76" t="s">
        <v>277</v>
      </c>
      <c r="H76" s="89">
        <f t="shared" si="8"/>
        <v>43448403.681009717</v>
      </c>
      <c r="I76" s="63"/>
      <c r="J76" s="215">
        <f t="shared" ref="J76" si="10">J54 * thousand * J41 / hundred</f>
        <v>22636756.507203255</v>
      </c>
      <c r="K76" s="215">
        <f t="shared" ref="K76:AO76" si="11">K54 * thousand * K41 / hundred</f>
        <v>2663422.6357818278</v>
      </c>
      <c r="L76" s="215">
        <f t="shared" si="11"/>
        <v>0</v>
      </c>
      <c r="M76" s="215">
        <f t="shared" si="11"/>
        <v>374426.28332831629</v>
      </c>
      <c r="N76" s="215">
        <f t="shared" si="11"/>
        <v>1797320.1587868896</v>
      </c>
      <c r="O76" s="215">
        <f t="shared" si="11"/>
        <v>2504251.3111920264</v>
      </c>
      <c r="P76" s="215">
        <f t="shared" si="11"/>
        <v>6627513.9566765018</v>
      </c>
      <c r="Q76" s="215">
        <f t="shared" si="11"/>
        <v>186179.74928277783</v>
      </c>
      <c r="R76" s="215">
        <f t="shared" si="11"/>
        <v>0</v>
      </c>
      <c r="S76" s="215">
        <f t="shared" si="11"/>
        <v>2116920.0418419675</v>
      </c>
      <c r="T76" s="215">
        <f t="shared" si="11"/>
        <v>2174841.1920132232</v>
      </c>
      <c r="U76" s="215">
        <f t="shared" si="11"/>
        <v>1644420.6951760435</v>
      </c>
      <c r="V76" s="215">
        <f t="shared" si="11"/>
        <v>4475998.2968129283</v>
      </c>
      <c r="W76" s="215">
        <f t="shared" si="11"/>
        <v>0</v>
      </c>
      <c r="X76" s="215">
        <f t="shared" si="11"/>
        <v>20511.021687574666</v>
      </c>
      <c r="Y76" s="215">
        <f t="shared" si="11"/>
        <v>12580.622292398248</v>
      </c>
      <c r="Z76" s="215">
        <f t="shared" si="11"/>
        <v>37271.762592376777</v>
      </c>
      <c r="AA76" s="215">
        <f t="shared" si="11"/>
        <v>291096.83173028677</v>
      </c>
      <c r="AB76" s="215">
        <f t="shared" si="11"/>
        <v>0</v>
      </c>
      <c r="AC76" s="215">
        <f t="shared" si="11"/>
        <v>154239.99935141183</v>
      </c>
      <c r="AD76" s="215">
        <f t="shared" si="11"/>
        <v>428872.94121315255</v>
      </c>
      <c r="AE76" s="215">
        <f t="shared" si="11"/>
        <v>359082.42254765914</v>
      </c>
      <c r="AF76" s="215">
        <f t="shared" si="11"/>
        <v>720598.67666047579</v>
      </c>
      <c r="AG76" s="215">
        <f t="shared" si="11"/>
        <v>1166637.6979507902</v>
      </c>
      <c r="AH76" s="215">
        <f t="shared" si="11"/>
        <v>-49294.241131824208</v>
      </c>
      <c r="AI76" s="215">
        <f t="shared" si="11"/>
        <v>-17.331871917420834</v>
      </c>
      <c r="AJ76" s="215">
        <f t="shared" si="11"/>
        <v>-2494369.6397368531</v>
      </c>
      <c r="AK76" s="215">
        <f t="shared" si="11"/>
        <v>0</v>
      </c>
      <c r="AL76" s="215">
        <f t="shared" si="11"/>
        <v>-18540.188556048492</v>
      </c>
      <c r="AM76" s="215">
        <f t="shared" si="11"/>
        <v>0</v>
      </c>
      <c r="AN76" s="215">
        <f t="shared" si="11"/>
        <v>-4382317.7218155162</v>
      </c>
      <c r="AO76" s="215">
        <f t="shared" si="11"/>
        <v>0</v>
      </c>
    </row>
    <row r="77" spans="2:43" x14ac:dyDescent="0.35">
      <c r="D77" s="88"/>
      <c r="F77" t="s">
        <v>158</v>
      </c>
      <c r="G77" t="s">
        <v>277</v>
      </c>
      <c r="H77" s="89">
        <f t="shared" si="8"/>
        <v>13381619.333681878</v>
      </c>
      <c r="I77" s="63"/>
      <c r="J77" s="215">
        <f t="shared" ref="J77" si="12">J55 * thousand * J42 / hundred</f>
        <v>6455002.5641771844</v>
      </c>
      <c r="K77" s="215">
        <f t="shared" ref="K77:AO77" si="13">K55 * thousand * K42 / hundred</f>
        <v>1339252.8578786892</v>
      </c>
      <c r="L77" s="215">
        <f t="shared" si="13"/>
        <v>0</v>
      </c>
      <c r="M77" s="215">
        <f t="shared" si="13"/>
        <v>87346.869797865074</v>
      </c>
      <c r="N77" s="215">
        <f t="shared" si="13"/>
        <v>419282.23761198804</v>
      </c>
      <c r="O77" s="215">
        <f t="shared" si="13"/>
        <v>584196.47059878439</v>
      </c>
      <c r="P77" s="215">
        <f t="shared" si="13"/>
        <v>1546078.9598195837</v>
      </c>
      <c r="Q77" s="215">
        <f t="shared" si="13"/>
        <v>103921.42370217465</v>
      </c>
      <c r="R77" s="215">
        <f t="shared" si="13"/>
        <v>0</v>
      </c>
      <c r="S77" s="215">
        <f t="shared" si="13"/>
        <v>593031.99392129492</v>
      </c>
      <c r="T77" s="215">
        <f t="shared" si="13"/>
        <v>609257.97057480447</v>
      </c>
      <c r="U77" s="215">
        <f t="shared" si="13"/>
        <v>460666.47035811446</v>
      </c>
      <c r="V77" s="215">
        <f t="shared" si="13"/>
        <v>1253901.9624178365</v>
      </c>
      <c r="W77" s="215">
        <f t="shared" si="13"/>
        <v>0</v>
      </c>
      <c r="X77" s="215">
        <f t="shared" si="13"/>
        <v>7279.1035301044049</v>
      </c>
      <c r="Y77" s="215">
        <f t="shared" si="13"/>
        <v>4464.7045639360658</v>
      </c>
      <c r="Z77" s="215">
        <f t="shared" si="13"/>
        <v>13227.279595912889</v>
      </c>
      <c r="AA77" s="215">
        <f t="shared" si="13"/>
        <v>103306.60304131791</v>
      </c>
      <c r="AB77" s="215">
        <f t="shared" si="13"/>
        <v>0</v>
      </c>
      <c r="AC77" s="215">
        <f t="shared" si="13"/>
        <v>55558.63370075939</v>
      </c>
      <c r="AD77" s="215">
        <f t="shared" si="13"/>
        <v>154483.88709300625</v>
      </c>
      <c r="AE77" s="215">
        <f t="shared" si="13"/>
        <v>129344.71516207309</v>
      </c>
      <c r="AF77" s="215">
        <f t="shared" si="13"/>
        <v>259566.11832328085</v>
      </c>
      <c r="AG77" s="215">
        <f t="shared" si="13"/>
        <v>1835807.4310382584</v>
      </c>
      <c r="AH77" s="215">
        <f t="shared" si="13"/>
        <v>-10348.352956157956</v>
      </c>
      <c r="AI77" s="215">
        <f t="shared" si="13"/>
        <v>-2.8026620947850711</v>
      </c>
      <c r="AJ77" s="215">
        <f t="shared" si="13"/>
        <v>-946050.59128479066</v>
      </c>
      <c r="AK77" s="215">
        <f t="shared" si="13"/>
        <v>0</v>
      </c>
      <c r="AL77" s="215">
        <f t="shared" si="13"/>
        <v>-6836.2177797610721</v>
      </c>
      <c r="AM77" s="215">
        <f t="shared" si="13"/>
        <v>0</v>
      </c>
      <c r="AN77" s="215">
        <f t="shared" si="13"/>
        <v>-1670120.9585422883</v>
      </c>
      <c r="AO77" s="215">
        <f t="shared" si="13"/>
        <v>0</v>
      </c>
    </row>
    <row r="78" spans="2:43" x14ac:dyDescent="0.35">
      <c r="D78" s="88"/>
      <c r="F78" t="s">
        <v>159</v>
      </c>
      <c r="G78" t="s">
        <v>277</v>
      </c>
      <c r="H78" s="89">
        <f t="shared" si="8"/>
        <v>23834812.174171194</v>
      </c>
      <c r="I78" s="63"/>
      <c r="J78" s="322">
        <f t="shared" ref="J78" si="14">J56 * J43 * days_in_year / hundred</f>
        <v>18827628.457266953</v>
      </c>
      <c r="K78" s="322">
        <f t="shared" ref="K78:AO78" si="15">K56 * K43 * days_in_year / hundred</f>
        <v>0</v>
      </c>
      <c r="L78" s="322">
        <f t="shared" si="15"/>
        <v>0</v>
      </c>
      <c r="M78" s="322">
        <f t="shared" si="15"/>
        <v>1067216.2273580963</v>
      </c>
      <c r="N78" s="322">
        <f t="shared" si="15"/>
        <v>865714.7831315184</v>
      </c>
      <c r="O78" s="322">
        <f t="shared" si="15"/>
        <v>488815.3911544811</v>
      </c>
      <c r="P78" s="322">
        <f t="shared" si="15"/>
        <v>395369.26091224054</v>
      </c>
      <c r="Q78" s="322">
        <f t="shared" si="15"/>
        <v>0</v>
      </c>
      <c r="R78" s="322">
        <f t="shared" si="15"/>
        <v>0</v>
      </c>
      <c r="S78" s="322">
        <f t="shared" si="15"/>
        <v>321274.74222615233</v>
      </c>
      <c r="T78" s="322">
        <f t="shared" si="15"/>
        <v>172922.0177698117</v>
      </c>
      <c r="U78" s="322">
        <f t="shared" si="15"/>
        <v>79537.881743609949</v>
      </c>
      <c r="V78" s="322">
        <f t="shared" si="15"/>
        <v>97652.530203542075</v>
      </c>
      <c r="W78" s="322">
        <f t="shared" si="15"/>
        <v>0</v>
      </c>
      <c r="X78" s="322">
        <f t="shared" si="15"/>
        <v>2315.3751555855783</v>
      </c>
      <c r="Y78" s="322">
        <f t="shared" si="15"/>
        <v>3087.1668741141043</v>
      </c>
      <c r="Z78" s="322">
        <f t="shared" si="15"/>
        <v>6174.3337482282086</v>
      </c>
      <c r="AA78" s="322">
        <f t="shared" si="15"/>
        <v>16722.153901451398</v>
      </c>
      <c r="AB78" s="322">
        <f t="shared" si="15"/>
        <v>0</v>
      </c>
      <c r="AC78" s="322">
        <f t="shared" si="15"/>
        <v>505392.61989267304</v>
      </c>
      <c r="AD78" s="322">
        <f t="shared" si="15"/>
        <v>180583.93372663856</v>
      </c>
      <c r="AE78" s="322">
        <f t="shared" si="15"/>
        <v>70294.417155335803</v>
      </c>
      <c r="AF78" s="322">
        <f t="shared" si="15"/>
        <v>64234.553607462032</v>
      </c>
      <c r="AG78" s="322">
        <f t="shared" si="15"/>
        <v>0</v>
      </c>
      <c r="AH78" s="322">
        <f t="shared" si="15"/>
        <v>0</v>
      </c>
      <c r="AI78" s="322">
        <f t="shared" si="15"/>
        <v>0</v>
      </c>
      <c r="AJ78" s="322">
        <f t="shared" si="15"/>
        <v>0</v>
      </c>
      <c r="AK78" s="322">
        <f t="shared" si="15"/>
        <v>0</v>
      </c>
      <c r="AL78" s="322">
        <f t="shared" si="15"/>
        <v>0</v>
      </c>
      <c r="AM78" s="322">
        <f t="shared" si="15"/>
        <v>0</v>
      </c>
      <c r="AN78" s="322">
        <f t="shared" si="15"/>
        <v>669876.32834329864</v>
      </c>
      <c r="AO78" s="322">
        <f t="shared" si="15"/>
        <v>0</v>
      </c>
    </row>
    <row r="79" spans="2:43" x14ac:dyDescent="0.35">
      <c r="D79" s="88"/>
      <c r="F79" t="s">
        <v>736</v>
      </c>
      <c r="G79" t="s">
        <v>277</v>
      </c>
      <c r="H79" s="89">
        <f t="shared" si="8"/>
        <v>36220312.453679293</v>
      </c>
      <c r="I79" s="63"/>
      <c r="J79" s="401">
        <f t="shared" ref="J79" si="16">J57 * J44 * days_in_year / hundred</f>
        <v>0</v>
      </c>
      <c r="K79" s="401">
        <f t="shared" ref="K79:AO79" si="17">K57 * K44 * days_in_year / hundred</f>
        <v>0</v>
      </c>
      <c r="L79" s="401">
        <f t="shared" si="17"/>
        <v>0</v>
      </c>
      <c r="M79" s="401">
        <f t="shared" si="17"/>
        <v>0</v>
      </c>
      <c r="N79" s="401">
        <f t="shared" si="17"/>
        <v>0</v>
      </c>
      <c r="O79" s="401">
        <f t="shared" si="17"/>
        <v>0</v>
      </c>
      <c r="P79" s="401">
        <f t="shared" si="17"/>
        <v>0</v>
      </c>
      <c r="Q79" s="401">
        <f t="shared" si="17"/>
        <v>0</v>
      </c>
      <c r="R79" s="401">
        <f t="shared" si="17"/>
        <v>0</v>
      </c>
      <c r="S79" s="401">
        <f t="shared" si="17"/>
        <v>3568924.5403573038</v>
      </c>
      <c r="T79" s="401">
        <f t="shared" si="17"/>
        <v>3666574.05482458</v>
      </c>
      <c r="U79" s="401">
        <f t="shared" si="17"/>
        <v>2772335.8736679768</v>
      </c>
      <c r="V79" s="401">
        <f t="shared" si="17"/>
        <v>7546104.6465380332</v>
      </c>
      <c r="W79" s="401">
        <f t="shared" si="17"/>
        <v>0</v>
      </c>
      <c r="X79" s="401">
        <f t="shared" si="17"/>
        <v>78612.355451498399</v>
      </c>
      <c r="Y79" s="401">
        <f t="shared" si="17"/>
        <v>48217.605466731853</v>
      </c>
      <c r="Z79" s="401">
        <f t="shared" si="17"/>
        <v>142851.05314820851</v>
      </c>
      <c r="AA79" s="401">
        <f t="shared" si="17"/>
        <v>1115683.4581599154</v>
      </c>
      <c r="AB79" s="401">
        <f t="shared" si="17"/>
        <v>0</v>
      </c>
      <c r="AC79" s="401">
        <f t="shared" si="17"/>
        <v>1602978.3199475342</v>
      </c>
      <c r="AD79" s="401">
        <f t="shared" si="17"/>
        <v>4457170.8355010711</v>
      </c>
      <c r="AE79" s="401">
        <f t="shared" si="17"/>
        <v>3731855.1662251963</v>
      </c>
      <c r="AF79" s="401">
        <f t="shared" si="17"/>
        <v>7489004.5443912437</v>
      </c>
      <c r="AG79" s="401">
        <f t="shared" si="17"/>
        <v>0</v>
      </c>
      <c r="AH79" s="401">
        <f t="shared" si="17"/>
        <v>0</v>
      </c>
      <c r="AI79" s="401">
        <f t="shared" si="17"/>
        <v>0</v>
      </c>
      <c r="AJ79" s="401">
        <f t="shared" si="17"/>
        <v>0</v>
      </c>
      <c r="AK79" s="401">
        <f t="shared" si="17"/>
        <v>0</v>
      </c>
      <c r="AL79" s="401">
        <f t="shared" si="17"/>
        <v>0</v>
      </c>
      <c r="AM79" s="401">
        <f t="shared" si="17"/>
        <v>0</v>
      </c>
      <c r="AN79" s="401">
        <f t="shared" si="17"/>
        <v>0</v>
      </c>
      <c r="AO79" s="401">
        <f t="shared" si="17"/>
        <v>0</v>
      </c>
    </row>
    <row r="80" spans="2:43" x14ac:dyDescent="0.35">
      <c r="D80" s="88"/>
      <c r="F80" t="s">
        <v>252</v>
      </c>
      <c r="G80" t="s">
        <v>277</v>
      </c>
      <c r="H80" s="89">
        <f t="shared" si="8"/>
        <v>1189817.455941834</v>
      </c>
      <c r="I80" s="63"/>
      <c r="J80" s="323">
        <f t="shared" ref="J80" si="18">J58 * J45 * days_in_year / hundred</f>
        <v>0</v>
      </c>
      <c r="K80" s="323">
        <f t="shared" ref="K80:AO80" si="19">K58 * K45 * days_in_year / hundred</f>
        <v>0</v>
      </c>
      <c r="L80" s="323">
        <f t="shared" si="19"/>
        <v>0</v>
      </c>
      <c r="M80" s="323">
        <f t="shared" si="19"/>
        <v>0</v>
      </c>
      <c r="N80" s="323">
        <f t="shared" si="19"/>
        <v>0</v>
      </c>
      <c r="O80" s="323">
        <f t="shared" si="19"/>
        <v>0</v>
      </c>
      <c r="P80" s="323">
        <f t="shared" si="19"/>
        <v>0</v>
      </c>
      <c r="Q80" s="323">
        <f t="shared" si="19"/>
        <v>0</v>
      </c>
      <c r="R80" s="323">
        <f t="shared" si="19"/>
        <v>0</v>
      </c>
      <c r="S80" s="323">
        <f t="shared" si="19"/>
        <v>126459.63411759099</v>
      </c>
      <c r="T80" s="323">
        <f t="shared" si="19"/>
        <v>129919.70219458535</v>
      </c>
      <c r="U80" s="323">
        <f t="shared" si="19"/>
        <v>98233.676916022698</v>
      </c>
      <c r="V80" s="323">
        <f t="shared" si="19"/>
        <v>267385.20857566665</v>
      </c>
      <c r="W80" s="323">
        <f t="shared" si="19"/>
        <v>0</v>
      </c>
      <c r="X80" s="323">
        <f t="shared" si="19"/>
        <v>3171.5668196896154</v>
      </c>
      <c r="Y80" s="323">
        <f t="shared" si="19"/>
        <v>1945.309445886302</v>
      </c>
      <c r="Z80" s="323">
        <f t="shared" si="19"/>
        <v>5763.2373145478641</v>
      </c>
      <c r="AA80" s="323">
        <f t="shared" si="19"/>
        <v>45011.55851206732</v>
      </c>
      <c r="AB80" s="323">
        <f t="shared" si="19"/>
        <v>0</v>
      </c>
      <c r="AC80" s="323">
        <f t="shared" si="19"/>
        <v>47486.161815148291</v>
      </c>
      <c r="AD80" s="323">
        <f t="shared" si="19"/>
        <v>132037.92771151831</v>
      </c>
      <c r="AE80" s="323">
        <f t="shared" si="19"/>
        <v>110551.38805611982</v>
      </c>
      <c r="AF80" s="323">
        <f t="shared" si="19"/>
        <v>221852.08446299084</v>
      </c>
      <c r="AG80" s="323">
        <f t="shared" si="19"/>
        <v>0</v>
      </c>
      <c r="AH80" s="323">
        <f t="shared" si="19"/>
        <v>0</v>
      </c>
      <c r="AI80" s="323">
        <f t="shared" si="19"/>
        <v>0</v>
      </c>
      <c r="AJ80" s="323">
        <f t="shared" si="19"/>
        <v>0</v>
      </c>
      <c r="AK80" s="323">
        <f t="shared" si="19"/>
        <v>0</v>
      </c>
      <c r="AL80" s="323">
        <f t="shared" si="19"/>
        <v>0</v>
      </c>
      <c r="AM80" s="323">
        <f t="shared" si="19"/>
        <v>0</v>
      </c>
      <c r="AN80" s="323">
        <f t="shared" si="19"/>
        <v>0</v>
      </c>
      <c r="AO80" s="323">
        <f t="shared" si="19"/>
        <v>0</v>
      </c>
    </row>
    <row r="81" spans="1:43" x14ac:dyDescent="0.35">
      <c r="D81" s="88"/>
      <c r="F81" s="37" t="s">
        <v>215</v>
      </c>
      <c r="G81" s="67" t="s">
        <v>277</v>
      </c>
      <c r="H81" s="82">
        <f t="shared" si="8"/>
        <v>728346.51515331003</v>
      </c>
      <c r="I81" s="130"/>
      <c r="J81" s="323">
        <f t="shared" ref="J81" si="20">J59 * thousand * J46 / hundred</f>
        <v>0</v>
      </c>
      <c r="K81" s="323">
        <f t="shared" ref="K81:AO81" si="21">K59 * thousand * K46 / hundred</f>
        <v>0</v>
      </c>
      <c r="L81" s="323">
        <f t="shared" si="21"/>
        <v>0</v>
      </c>
      <c r="M81" s="323">
        <f t="shared" si="21"/>
        <v>0</v>
      </c>
      <c r="N81" s="323">
        <f t="shared" si="21"/>
        <v>0</v>
      </c>
      <c r="O81" s="323">
        <f t="shared" si="21"/>
        <v>0</v>
      </c>
      <c r="P81" s="323">
        <f t="shared" si="21"/>
        <v>0</v>
      </c>
      <c r="Q81" s="323">
        <f t="shared" si="21"/>
        <v>0</v>
      </c>
      <c r="R81" s="323">
        <f t="shared" si="21"/>
        <v>0</v>
      </c>
      <c r="S81" s="323">
        <f t="shared" si="21"/>
        <v>97079.127384836465</v>
      </c>
      <c r="T81" s="323">
        <f t="shared" si="21"/>
        <v>99735.314016646575</v>
      </c>
      <c r="U81" s="323">
        <f t="shared" si="21"/>
        <v>75410.938054302678</v>
      </c>
      <c r="V81" s="323">
        <f t="shared" si="21"/>
        <v>205263.30718307392</v>
      </c>
      <c r="W81" s="323">
        <f t="shared" si="21"/>
        <v>0</v>
      </c>
      <c r="X81" s="323">
        <f t="shared" si="21"/>
        <v>689.765016977355</v>
      </c>
      <c r="Y81" s="323">
        <f t="shared" si="21"/>
        <v>423.07366650382903</v>
      </c>
      <c r="Z81" s="323">
        <f t="shared" si="21"/>
        <v>1253.411865527926</v>
      </c>
      <c r="AA81" s="323">
        <f t="shared" si="21"/>
        <v>9789.293490052265</v>
      </c>
      <c r="AB81" s="323">
        <f t="shared" si="21"/>
        <v>0</v>
      </c>
      <c r="AC81" s="323">
        <f t="shared" si="21"/>
        <v>11686.399793273855</v>
      </c>
      <c r="AD81" s="323">
        <f t="shared" si="21"/>
        <v>32494.687970758594</v>
      </c>
      <c r="AE81" s="323">
        <f t="shared" si="21"/>
        <v>27206.825507490037</v>
      </c>
      <c r="AF81" s="323">
        <f t="shared" si="21"/>
        <v>54598.056673820342</v>
      </c>
      <c r="AG81" s="323">
        <f t="shared" si="21"/>
        <v>0</v>
      </c>
      <c r="AH81" s="323">
        <f t="shared" si="21"/>
        <v>0</v>
      </c>
      <c r="AI81" s="323">
        <f t="shared" si="21"/>
        <v>0</v>
      </c>
      <c r="AJ81" s="323">
        <f t="shared" si="21"/>
        <v>34548.964707355422</v>
      </c>
      <c r="AK81" s="323">
        <f t="shared" si="21"/>
        <v>0</v>
      </c>
      <c r="AL81" s="323">
        <f t="shared" si="21"/>
        <v>0</v>
      </c>
      <c r="AM81" s="323">
        <f t="shared" si="21"/>
        <v>0</v>
      </c>
      <c r="AN81" s="323">
        <f t="shared" si="21"/>
        <v>78167.349822690696</v>
      </c>
      <c r="AO81" s="323">
        <f t="shared" si="21"/>
        <v>0</v>
      </c>
    </row>
    <row r="82" spans="1:43" x14ac:dyDescent="0.35">
      <c r="D82"/>
      <c r="E82" s="29"/>
      <c r="F82" s="108" t="s">
        <v>100</v>
      </c>
      <c r="G82" s="152" t="s">
        <v>277</v>
      </c>
      <c r="H82" s="167">
        <f t="shared" si="8"/>
        <v>163931533.92872003</v>
      </c>
      <c r="I82" s="168"/>
      <c r="J82" s="216">
        <f t="shared" ref="J82" si="22">SUM(J75:J81)</f>
        <v>76336136.685288846</v>
      </c>
      <c r="K82" s="216">
        <f t="shared" ref="K82:AO82" si="23">SUM(K75:K81)</f>
        <v>4825580.9972425755</v>
      </c>
      <c r="L82" s="216">
        <f t="shared" si="23"/>
        <v>0</v>
      </c>
      <c r="M82" s="216">
        <f t="shared" si="23"/>
        <v>1875002.9328544182</v>
      </c>
      <c r="N82" s="216">
        <f t="shared" si="23"/>
        <v>4743250.6144383438</v>
      </c>
      <c r="O82" s="216">
        <f t="shared" si="23"/>
        <v>5891483.4368399056</v>
      </c>
      <c r="P82" s="216">
        <f t="shared" si="23"/>
        <v>14693557.991430063</v>
      </c>
      <c r="Q82" s="216">
        <f t="shared" si="23"/>
        <v>335818.95837470947</v>
      </c>
      <c r="R82" s="216">
        <f t="shared" si="23"/>
        <v>0</v>
      </c>
      <c r="S82" s="216">
        <f t="shared" si="23"/>
        <v>8911159.8163716085</v>
      </c>
      <c r="T82" s="216">
        <f t="shared" si="23"/>
        <v>8997835.3468797244</v>
      </c>
      <c r="U82" s="216">
        <f t="shared" si="23"/>
        <v>6752149.2727803076</v>
      </c>
      <c r="V82" s="216">
        <f t="shared" si="23"/>
        <v>18260034.765594609</v>
      </c>
      <c r="W82" s="216">
        <f t="shared" si="23"/>
        <v>0</v>
      </c>
      <c r="X82" s="216">
        <f t="shared" si="23"/>
        <v>136593.0296713495</v>
      </c>
      <c r="Y82" s="216">
        <f t="shared" si="23"/>
        <v>85447.591406029343</v>
      </c>
      <c r="Z82" s="216">
        <f t="shared" si="23"/>
        <v>250178.01805053535</v>
      </c>
      <c r="AA82" s="216">
        <f t="shared" si="23"/>
        <v>1922419.5100400704</v>
      </c>
      <c r="AB82" s="216">
        <f t="shared" si="23"/>
        <v>0</v>
      </c>
      <c r="AC82" s="216">
        <f t="shared" si="23"/>
        <v>2557408.8990869247</v>
      </c>
      <c r="AD82" s="216">
        <f t="shared" si="23"/>
        <v>5886329.9190481361</v>
      </c>
      <c r="AE82" s="216">
        <f t="shared" si="23"/>
        <v>4847544.0264575481</v>
      </c>
      <c r="AF82" s="216">
        <f t="shared" si="23"/>
        <v>9651113.582984196</v>
      </c>
      <c r="AG82" s="216">
        <f t="shared" si="23"/>
        <v>3996709.4921061127</v>
      </c>
      <c r="AH82" s="216">
        <f t="shared" si="23"/>
        <v>-103703.22782083772</v>
      </c>
      <c r="AI82" s="216">
        <f t="shared" si="23"/>
        <v>-32.200796303127362</v>
      </c>
      <c r="AJ82" s="216">
        <f t="shared" si="23"/>
        <v>-5912850.2450645277</v>
      </c>
      <c r="AK82" s="216">
        <f t="shared" si="23"/>
        <v>0</v>
      </c>
      <c r="AL82" s="216">
        <f t="shared" si="23"/>
        <v>-45028.144073227275</v>
      </c>
      <c r="AM82" s="216">
        <f t="shared" si="23"/>
        <v>0</v>
      </c>
      <c r="AN82" s="216">
        <f t="shared" si="23"/>
        <v>-10962607.140471054</v>
      </c>
      <c r="AO82" s="216">
        <f t="shared" si="23"/>
        <v>0</v>
      </c>
      <c r="AP82" s="210"/>
      <c r="AQ82" s="210"/>
    </row>
    <row r="83" spans="1:43" x14ac:dyDescent="0.35">
      <c r="D83"/>
      <c r="E83" s="32"/>
      <c r="F83" s="29"/>
      <c r="H83" s="89"/>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row>
    <row r="84" spans="1:43" x14ac:dyDescent="0.35">
      <c r="D84" s="88"/>
      <c r="E84" t="s">
        <v>741</v>
      </c>
      <c r="G84" t="s">
        <v>277</v>
      </c>
      <c r="H84" s="98">
        <f>H67 - H82</f>
        <v>58241862.854626775</v>
      </c>
      <c r="I84" s="210" t="s">
        <v>154</v>
      </c>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210"/>
      <c r="AQ84" s="210" t="s">
        <v>1153</v>
      </c>
    </row>
    <row r="85" spans="1:43" x14ac:dyDescent="0.35">
      <c r="C85" s="88"/>
      <c r="I85" s="21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210"/>
      <c r="AQ85" s="210"/>
    </row>
    <row r="86" spans="1:43" x14ac:dyDescent="0.35">
      <c r="B86" s="30" t="s">
        <v>941</v>
      </c>
      <c r="C86" s="30"/>
      <c r="D86" s="30"/>
      <c r="E86" s="30"/>
      <c r="F86" s="30"/>
      <c r="G86" s="30"/>
      <c r="H86" s="30"/>
      <c r="I86" s="3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105"/>
      <c r="AQ86" s="105"/>
    </row>
    <row r="87" spans="1:43" x14ac:dyDescent="0.35">
      <c r="C87" s="29"/>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row>
    <row r="88" spans="1:43" x14ac:dyDescent="0.35">
      <c r="C88" s="31" t="str">
        <f ca="1">INDEX('Version control'!$H$34:$H$57,MATCH($A$1,'Version control'!$F$34:$F$57,0),1)&amp;"-C: Grouping of residual bands where a band has insufficient customers"</f>
        <v>Section 116-C: Grouping of residual bands where a band has insufficient customers</v>
      </c>
      <c r="D88" s="31"/>
      <c r="E88" s="31"/>
      <c r="F88" s="31"/>
      <c r="G88" s="31"/>
      <c r="H88" s="31"/>
      <c r="I88" s="31"/>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1:43" x14ac:dyDescent="0.35">
      <c r="A89" s="320"/>
      <c r="B89" s="320"/>
      <c r="C89" s="29"/>
      <c r="D89"/>
      <c r="E89"/>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1:43" x14ac:dyDescent="0.35">
      <c r="A90" s="320"/>
      <c r="B90" s="320"/>
      <c r="C90" s="29"/>
      <c r="D90" s="29" t="s">
        <v>1149</v>
      </c>
      <c r="E90"/>
      <c r="I90" t="s">
        <v>154</v>
      </c>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Q90" t="s">
        <v>1147</v>
      </c>
    </row>
    <row r="91" spans="1:43" x14ac:dyDescent="0.35">
      <c r="A91" s="320"/>
      <c r="B91" s="320"/>
      <c r="C91" s="29"/>
      <c r="D91" s="29" t="s">
        <v>1123</v>
      </c>
      <c r="E91"/>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1:43" x14ac:dyDescent="0.35">
      <c r="A92" s="320"/>
      <c r="B92" s="320"/>
      <c r="C92" s="29"/>
      <c r="D92"/>
      <c r="E92"/>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1:43" x14ac:dyDescent="0.35">
      <c r="A93" s="320"/>
      <c r="B93" s="320"/>
      <c r="C93" s="29"/>
      <c r="D93"/>
      <c r="E93" s="32" t="s">
        <v>1031</v>
      </c>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1:43" x14ac:dyDescent="0.35">
      <c r="A94" s="320"/>
      <c r="B94" s="320"/>
      <c r="C94" s="29"/>
      <c r="D94"/>
      <c r="E94"/>
      <c r="F94" s="23" t="s">
        <v>998</v>
      </c>
      <c r="G94" s="23" t="s">
        <v>149</v>
      </c>
      <c r="H94" s="23"/>
      <c r="I94" s="23"/>
      <c r="J94" s="359">
        <f>'Fixed inputs'!J176</f>
        <v>1</v>
      </c>
      <c r="K94" s="360"/>
      <c r="L94" s="360"/>
      <c r="M94" s="359">
        <f>'Fixed inputs'!M176</f>
        <v>1</v>
      </c>
      <c r="N94" s="359">
        <f>'Fixed inputs'!N176</f>
        <v>2</v>
      </c>
      <c r="O94" s="359">
        <f>'Fixed inputs'!O176</f>
        <v>3</v>
      </c>
      <c r="P94" s="359">
        <f>'Fixed inputs'!P176</f>
        <v>4</v>
      </c>
      <c r="Q94" s="360"/>
      <c r="R94" s="360"/>
      <c r="S94" s="359">
        <f>'Fixed inputs'!S176</f>
        <v>1</v>
      </c>
      <c r="T94" s="359">
        <f>'Fixed inputs'!T176</f>
        <v>2</v>
      </c>
      <c r="U94" s="359">
        <f>'Fixed inputs'!U176</f>
        <v>3</v>
      </c>
      <c r="V94" s="359">
        <f>'Fixed inputs'!V176</f>
        <v>4</v>
      </c>
      <c r="W94" s="360"/>
      <c r="X94" s="359">
        <f>'Fixed inputs'!X176</f>
        <v>1</v>
      </c>
      <c r="Y94" s="359">
        <f>'Fixed inputs'!Y176</f>
        <v>2</v>
      </c>
      <c r="Z94" s="359">
        <f>'Fixed inputs'!Z176</f>
        <v>3</v>
      </c>
      <c r="AA94" s="359">
        <f>'Fixed inputs'!AA176</f>
        <v>4</v>
      </c>
      <c r="AB94" s="360"/>
      <c r="AC94" s="359">
        <f>'Fixed inputs'!AC176</f>
        <v>1</v>
      </c>
      <c r="AD94" s="359">
        <f>'Fixed inputs'!AD176</f>
        <v>2</v>
      </c>
      <c r="AE94" s="359">
        <f>'Fixed inputs'!AE176</f>
        <v>3</v>
      </c>
      <c r="AF94" s="359">
        <f>'Fixed inputs'!AF176</f>
        <v>4</v>
      </c>
      <c r="AG94" s="359">
        <f>'Fixed inputs'!AG176</f>
        <v>1</v>
      </c>
      <c r="AH94" s="360"/>
      <c r="AI94" s="360"/>
      <c r="AJ94" s="360"/>
      <c r="AK94" s="360"/>
      <c r="AL94" s="360"/>
      <c r="AM94" s="360"/>
      <c r="AN94" s="360"/>
      <c r="AO94" s="360"/>
    </row>
    <row r="95" spans="1:43" x14ac:dyDescent="0.35">
      <c r="A95" s="320"/>
      <c r="B95" s="320"/>
      <c r="C95" s="29"/>
      <c r="D95"/>
      <c r="E95"/>
      <c r="F95" s="311" t="s">
        <v>999</v>
      </c>
      <c r="G95" s="311" t="s">
        <v>149</v>
      </c>
      <c r="H95" s="311"/>
      <c r="I95" s="311"/>
      <c r="J95" s="355">
        <f>'Fixed inputs'!J177</f>
        <v>1</v>
      </c>
      <c r="K95" s="356"/>
      <c r="L95" s="356"/>
      <c r="M95" s="355">
        <f>'Fixed inputs'!M177</f>
        <v>1</v>
      </c>
      <c r="N95" s="355">
        <f>'Fixed inputs'!N177</f>
        <v>1</v>
      </c>
      <c r="O95" s="355">
        <f>'Fixed inputs'!O177</f>
        <v>2</v>
      </c>
      <c r="P95" s="355">
        <f>'Fixed inputs'!P177</f>
        <v>3</v>
      </c>
      <c r="Q95" s="356"/>
      <c r="R95" s="356"/>
      <c r="S95" s="355">
        <f>'Fixed inputs'!S177</f>
        <v>1</v>
      </c>
      <c r="T95" s="355">
        <f>'Fixed inputs'!T177</f>
        <v>1</v>
      </c>
      <c r="U95" s="355">
        <f>'Fixed inputs'!U177</f>
        <v>2</v>
      </c>
      <c r="V95" s="355">
        <f>'Fixed inputs'!V177</f>
        <v>3</v>
      </c>
      <c r="W95" s="356"/>
      <c r="X95" s="355">
        <f>'Fixed inputs'!X177</f>
        <v>1</v>
      </c>
      <c r="Y95" s="355">
        <f>'Fixed inputs'!Y177</f>
        <v>1</v>
      </c>
      <c r="Z95" s="355">
        <f>'Fixed inputs'!Z177</f>
        <v>2</v>
      </c>
      <c r="AA95" s="355">
        <f>'Fixed inputs'!AA177</f>
        <v>3</v>
      </c>
      <c r="AB95" s="356"/>
      <c r="AC95" s="355">
        <f>'Fixed inputs'!AC177</f>
        <v>1</v>
      </c>
      <c r="AD95" s="355">
        <f>'Fixed inputs'!AD177</f>
        <v>1</v>
      </c>
      <c r="AE95" s="355">
        <f>'Fixed inputs'!AE177</f>
        <v>2</v>
      </c>
      <c r="AF95" s="355">
        <f>'Fixed inputs'!AF177</f>
        <v>3</v>
      </c>
      <c r="AG95" s="355">
        <f>'Fixed inputs'!AG177</f>
        <v>1</v>
      </c>
      <c r="AH95" s="356"/>
      <c r="AI95" s="356"/>
      <c r="AJ95" s="356"/>
      <c r="AK95" s="356"/>
      <c r="AL95" s="356"/>
      <c r="AM95" s="356"/>
      <c r="AN95" s="356"/>
      <c r="AO95" s="356"/>
    </row>
    <row r="96" spans="1:43" x14ac:dyDescent="0.35">
      <c r="A96" s="320"/>
      <c r="B96" s="320"/>
      <c r="C96" s="29"/>
      <c r="D96"/>
      <c r="E96"/>
      <c r="F96" s="311" t="s">
        <v>1000</v>
      </c>
      <c r="G96" s="311" t="s">
        <v>149</v>
      </c>
      <c r="H96" s="311"/>
      <c r="I96" s="311"/>
      <c r="J96" s="355">
        <f>'Fixed inputs'!J178</f>
        <v>1</v>
      </c>
      <c r="K96" s="356"/>
      <c r="L96" s="356"/>
      <c r="M96" s="355">
        <f>'Fixed inputs'!M178</f>
        <v>1</v>
      </c>
      <c r="N96" s="355">
        <f>'Fixed inputs'!N178</f>
        <v>2</v>
      </c>
      <c r="O96" s="355">
        <f>'Fixed inputs'!O178</f>
        <v>2</v>
      </c>
      <c r="P96" s="355">
        <f>'Fixed inputs'!P178</f>
        <v>3</v>
      </c>
      <c r="Q96" s="356"/>
      <c r="R96" s="356"/>
      <c r="S96" s="355">
        <f>'Fixed inputs'!S178</f>
        <v>1</v>
      </c>
      <c r="T96" s="355">
        <f>'Fixed inputs'!T178</f>
        <v>2</v>
      </c>
      <c r="U96" s="355">
        <f>'Fixed inputs'!U178</f>
        <v>2</v>
      </c>
      <c r="V96" s="355">
        <f>'Fixed inputs'!V178</f>
        <v>3</v>
      </c>
      <c r="W96" s="356"/>
      <c r="X96" s="355">
        <f>'Fixed inputs'!X178</f>
        <v>1</v>
      </c>
      <c r="Y96" s="355">
        <f>'Fixed inputs'!Y178</f>
        <v>2</v>
      </c>
      <c r="Z96" s="355">
        <f>'Fixed inputs'!Z178</f>
        <v>2</v>
      </c>
      <c r="AA96" s="355">
        <f>'Fixed inputs'!AA178</f>
        <v>3</v>
      </c>
      <c r="AB96" s="356"/>
      <c r="AC96" s="355">
        <f>'Fixed inputs'!AC178</f>
        <v>1</v>
      </c>
      <c r="AD96" s="355">
        <f>'Fixed inputs'!AD178</f>
        <v>2</v>
      </c>
      <c r="AE96" s="355">
        <f>'Fixed inputs'!AE178</f>
        <v>2</v>
      </c>
      <c r="AF96" s="355">
        <f>'Fixed inputs'!AF178</f>
        <v>3</v>
      </c>
      <c r="AG96" s="355">
        <f>'Fixed inputs'!AG178</f>
        <v>1</v>
      </c>
      <c r="AH96" s="356"/>
      <c r="AI96" s="356"/>
      <c r="AJ96" s="356"/>
      <c r="AK96" s="356"/>
      <c r="AL96" s="356"/>
      <c r="AM96" s="356"/>
      <c r="AN96" s="356"/>
      <c r="AO96" s="356"/>
    </row>
    <row r="97" spans="1:41" x14ac:dyDescent="0.35">
      <c r="A97" s="320"/>
      <c r="B97" s="320"/>
      <c r="C97" s="29"/>
      <c r="D97"/>
      <c r="E97"/>
      <c r="F97" s="311" t="s">
        <v>1001</v>
      </c>
      <c r="G97" s="311" t="s">
        <v>149</v>
      </c>
      <c r="H97" s="311"/>
      <c r="I97" s="311"/>
      <c r="J97" s="355">
        <f>'Fixed inputs'!J179</f>
        <v>1</v>
      </c>
      <c r="K97" s="356"/>
      <c r="L97" s="356"/>
      <c r="M97" s="355">
        <f>'Fixed inputs'!M179</f>
        <v>1</v>
      </c>
      <c r="N97" s="355">
        <f>'Fixed inputs'!N179</f>
        <v>2</v>
      </c>
      <c r="O97" s="355">
        <f>'Fixed inputs'!O179</f>
        <v>3</v>
      </c>
      <c r="P97" s="355">
        <f>'Fixed inputs'!P179</f>
        <v>3</v>
      </c>
      <c r="Q97" s="356"/>
      <c r="R97" s="356"/>
      <c r="S97" s="355">
        <f>'Fixed inputs'!S179</f>
        <v>1</v>
      </c>
      <c r="T97" s="355">
        <f>'Fixed inputs'!T179</f>
        <v>2</v>
      </c>
      <c r="U97" s="355">
        <f>'Fixed inputs'!U179</f>
        <v>3</v>
      </c>
      <c r="V97" s="355">
        <f>'Fixed inputs'!V179</f>
        <v>3</v>
      </c>
      <c r="W97" s="356"/>
      <c r="X97" s="355">
        <f>'Fixed inputs'!X179</f>
        <v>1</v>
      </c>
      <c r="Y97" s="355">
        <f>'Fixed inputs'!Y179</f>
        <v>2</v>
      </c>
      <c r="Z97" s="355">
        <f>'Fixed inputs'!Z179</f>
        <v>3</v>
      </c>
      <c r="AA97" s="355">
        <f>'Fixed inputs'!AA179</f>
        <v>3</v>
      </c>
      <c r="AB97" s="356"/>
      <c r="AC97" s="355">
        <f>'Fixed inputs'!AC179</f>
        <v>1</v>
      </c>
      <c r="AD97" s="355">
        <f>'Fixed inputs'!AD179</f>
        <v>2</v>
      </c>
      <c r="AE97" s="355">
        <f>'Fixed inputs'!AE179</f>
        <v>3</v>
      </c>
      <c r="AF97" s="355">
        <f>'Fixed inputs'!AF179</f>
        <v>3</v>
      </c>
      <c r="AG97" s="355">
        <f>'Fixed inputs'!AG179</f>
        <v>1</v>
      </c>
      <c r="AH97" s="356"/>
      <c r="AI97" s="356"/>
      <c r="AJ97" s="356"/>
      <c r="AK97" s="356"/>
      <c r="AL97" s="356"/>
      <c r="AM97" s="356"/>
      <c r="AN97" s="356"/>
      <c r="AO97" s="356"/>
    </row>
    <row r="98" spans="1:41" x14ac:dyDescent="0.35">
      <c r="A98" s="320"/>
      <c r="B98" s="320"/>
      <c r="C98" s="29"/>
      <c r="D98"/>
      <c r="E98"/>
      <c r="F98" s="311" t="s">
        <v>1002</v>
      </c>
      <c r="G98" s="311" t="s">
        <v>149</v>
      </c>
      <c r="H98" s="311"/>
      <c r="I98" s="311"/>
      <c r="J98" s="355">
        <f>'Fixed inputs'!J180</f>
        <v>1</v>
      </c>
      <c r="K98" s="356"/>
      <c r="L98" s="356"/>
      <c r="M98" s="355">
        <f>'Fixed inputs'!M180</f>
        <v>1</v>
      </c>
      <c r="N98" s="355">
        <f>'Fixed inputs'!N180</f>
        <v>1</v>
      </c>
      <c r="O98" s="355">
        <f>'Fixed inputs'!O180</f>
        <v>2</v>
      </c>
      <c r="P98" s="355">
        <f>'Fixed inputs'!P180</f>
        <v>2</v>
      </c>
      <c r="Q98" s="356"/>
      <c r="R98" s="356"/>
      <c r="S98" s="355">
        <f>'Fixed inputs'!S180</f>
        <v>1</v>
      </c>
      <c r="T98" s="355">
        <f>'Fixed inputs'!T180</f>
        <v>1</v>
      </c>
      <c r="U98" s="355">
        <f>'Fixed inputs'!U180</f>
        <v>2</v>
      </c>
      <c r="V98" s="355">
        <f>'Fixed inputs'!V180</f>
        <v>2</v>
      </c>
      <c r="W98" s="356"/>
      <c r="X98" s="355">
        <f>'Fixed inputs'!X180</f>
        <v>1</v>
      </c>
      <c r="Y98" s="355">
        <f>'Fixed inputs'!Y180</f>
        <v>1</v>
      </c>
      <c r="Z98" s="355">
        <f>'Fixed inputs'!Z180</f>
        <v>2</v>
      </c>
      <c r="AA98" s="355">
        <f>'Fixed inputs'!AA180</f>
        <v>2</v>
      </c>
      <c r="AB98" s="356"/>
      <c r="AC98" s="355">
        <f>'Fixed inputs'!AC180</f>
        <v>1</v>
      </c>
      <c r="AD98" s="355">
        <f>'Fixed inputs'!AD180</f>
        <v>1</v>
      </c>
      <c r="AE98" s="355">
        <f>'Fixed inputs'!AE180</f>
        <v>2</v>
      </c>
      <c r="AF98" s="355">
        <f>'Fixed inputs'!AF180</f>
        <v>2</v>
      </c>
      <c r="AG98" s="355">
        <f>'Fixed inputs'!AG180</f>
        <v>1</v>
      </c>
      <c r="AH98" s="356"/>
      <c r="AI98" s="356"/>
      <c r="AJ98" s="356"/>
      <c r="AK98" s="356"/>
      <c r="AL98" s="356"/>
      <c r="AM98" s="356"/>
      <c r="AN98" s="356"/>
      <c r="AO98" s="356"/>
    </row>
    <row r="99" spans="1:41" x14ac:dyDescent="0.35">
      <c r="A99" s="320"/>
      <c r="B99" s="320"/>
      <c r="C99" s="29"/>
      <c r="D99"/>
      <c r="E99"/>
      <c r="F99" s="311" t="s">
        <v>1003</v>
      </c>
      <c r="G99" s="311" t="s">
        <v>149</v>
      </c>
      <c r="H99" s="311"/>
      <c r="I99" s="311"/>
      <c r="J99" s="355">
        <f>'Fixed inputs'!J181</f>
        <v>1</v>
      </c>
      <c r="K99" s="356"/>
      <c r="L99" s="356"/>
      <c r="M99" s="355">
        <f>'Fixed inputs'!M181</f>
        <v>1</v>
      </c>
      <c r="N99" s="355">
        <f>'Fixed inputs'!N181</f>
        <v>1</v>
      </c>
      <c r="O99" s="355">
        <f>'Fixed inputs'!O181</f>
        <v>1</v>
      </c>
      <c r="P99" s="355">
        <f>'Fixed inputs'!P181</f>
        <v>2</v>
      </c>
      <c r="Q99" s="356"/>
      <c r="R99" s="356"/>
      <c r="S99" s="355">
        <f>'Fixed inputs'!S181</f>
        <v>1</v>
      </c>
      <c r="T99" s="355">
        <f>'Fixed inputs'!T181</f>
        <v>1</v>
      </c>
      <c r="U99" s="355">
        <f>'Fixed inputs'!U181</f>
        <v>1</v>
      </c>
      <c r="V99" s="355">
        <f>'Fixed inputs'!V181</f>
        <v>2</v>
      </c>
      <c r="W99" s="356"/>
      <c r="X99" s="355">
        <f>'Fixed inputs'!X181</f>
        <v>1</v>
      </c>
      <c r="Y99" s="355">
        <f>'Fixed inputs'!Y181</f>
        <v>1</v>
      </c>
      <c r="Z99" s="355">
        <f>'Fixed inputs'!Z181</f>
        <v>1</v>
      </c>
      <c r="AA99" s="355">
        <f>'Fixed inputs'!AA181</f>
        <v>2</v>
      </c>
      <c r="AB99" s="356"/>
      <c r="AC99" s="355">
        <f>'Fixed inputs'!AC181</f>
        <v>1</v>
      </c>
      <c r="AD99" s="355">
        <f>'Fixed inputs'!AD181</f>
        <v>1</v>
      </c>
      <c r="AE99" s="355">
        <f>'Fixed inputs'!AE181</f>
        <v>1</v>
      </c>
      <c r="AF99" s="355">
        <f>'Fixed inputs'!AF181</f>
        <v>2</v>
      </c>
      <c r="AG99" s="355">
        <f>'Fixed inputs'!AG181</f>
        <v>1</v>
      </c>
      <c r="AH99" s="356"/>
      <c r="AI99" s="356"/>
      <c r="AJ99" s="356"/>
      <c r="AK99" s="356"/>
      <c r="AL99" s="356"/>
      <c r="AM99" s="356"/>
      <c r="AN99" s="356"/>
      <c r="AO99" s="356"/>
    </row>
    <row r="100" spans="1:41" x14ac:dyDescent="0.35">
      <c r="A100" s="320"/>
      <c r="B100" s="320"/>
      <c r="C100" s="29"/>
      <c r="D100"/>
      <c r="E100"/>
      <c r="F100" s="311" t="s">
        <v>1004</v>
      </c>
      <c r="G100" s="311" t="s">
        <v>149</v>
      </c>
      <c r="H100" s="311"/>
      <c r="I100" s="311"/>
      <c r="J100" s="355">
        <f>'Fixed inputs'!J182</f>
        <v>1</v>
      </c>
      <c r="K100" s="356"/>
      <c r="L100" s="356"/>
      <c r="M100" s="355">
        <f>'Fixed inputs'!M182</f>
        <v>1</v>
      </c>
      <c r="N100" s="355">
        <f>'Fixed inputs'!N182</f>
        <v>2</v>
      </c>
      <c r="O100" s="355">
        <f>'Fixed inputs'!O182</f>
        <v>2</v>
      </c>
      <c r="P100" s="355">
        <f>'Fixed inputs'!P182</f>
        <v>2</v>
      </c>
      <c r="Q100" s="356"/>
      <c r="R100" s="356"/>
      <c r="S100" s="355">
        <f>'Fixed inputs'!S182</f>
        <v>1</v>
      </c>
      <c r="T100" s="355">
        <f>'Fixed inputs'!T182</f>
        <v>2</v>
      </c>
      <c r="U100" s="355">
        <f>'Fixed inputs'!U182</f>
        <v>2</v>
      </c>
      <c r="V100" s="355">
        <f>'Fixed inputs'!V182</f>
        <v>2</v>
      </c>
      <c r="W100" s="356"/>
      <c r="X100" s="355">
        <f>'Fixed inputs'!X182</f>
        <v>1</v>
      </c>
      <c r="Y100" s="355">
        <f>'Fixed inputs'!Y182</f>
        <v>2</v>
      </c>
      <c r="Z100" s="355">
        <f>'Fixed inputs'!Z182</f>
        <v>2</v>
      </c>
      <c r="AA100" s="355">
        <f>'Fixed inputs'!AA182</f>
        <v>2</v>
      </c>
      <c r="AB100" s="356"/>
      <c r="AC100" s="355">
        <f>'Fixed inputs'!AC182</f>
        <v>1</v>
      </c>
      <c r="AD100" s="355">
        <f>'Fixed inputs'!AD182</f>
        <v>2</v>
      </c>
      <c r="AE100" s="355">
        <f>'Fixed inputs'!AE182</f>
        <v>2</v>
      </c>
      <c r="AF100" s="355">
        <f>'Fixed inputs'!AF182</f>
        <v>2</v>
      </c>
      <c r="AG100" s="355">
        <f>'Fixed inputs'!AG182</f>
        <v>1</v>
      </c>
      <c r="AH100" s="356"/>
      <c r="AI100" s="356"/>
      <c r="AJ100" s="356"/>
      <c r="AK100" s="356"/>
      <c r="AL100" s="356"/>
      <c r="AM100" s="356"/>
      <c r="AN100" s="356"/>
      <c r="AO100" s="356"/>
    </row>
    <row r="101" spans="1:41" x14ac:dyDescent="0.35">
      <c r="A101" s="320"/>
      <c r="B101" s="320"/>
      <c r="C101" s="29"/>
      <c r="D101"/>
      <c r="E101"/>
      <c r="F101" s="37" t="s">
        <v>1005</v>
      </c>
      <c r="G101" s="37" t="s">
        <v>149</v>
      </c>
      <c r="H101" s="37"/>
      <c r="I101" s="37"/>
      <c r="J101" s="357">
        <f>'Fixed inputs'!J183</f>
        <v>1</v>
      </c>
      <c r="K101" s="358"/>
      <c r="L101" s="358"/>
      <c r="M101" s="357">
        <f>'Fixed inputs'!M183</f>
        <v>1</v>
      </c>
      <c r="N101" s="357">
        <f>'Fixed inputs'!N183</f>
        <v>1</v>
      </c>
      <c r="O101" s="357">
        <f>'Fixed inputs'!O183</f>
        <v>1</v>
      </c>
      <c r="P101" s="357">
        <f>'Fixed inputs'!P183</f>
        <v>1</v>
      </c>
      <c r="Q101" s="358"/>
      <c r="R101" s="358"/>
      <c r="S101" s="357">
        <f>'Fixed inputs'!S183</f>
        <v>1</v>
      </c>
      <c r="T101" s="357">
        <f>'Fixed inputs'!T183</f>
        <v>1</v>
      </c>
      <c r="U101" s="357">
        <f>'Fixed inputs'!U183</f>
        <v>1</v>
      </c>
      <c r="V101" s="357">
        <f>'Fixed inputs'!V183</f>
        <v>1</v>
      </c>
      <c r="W101" s="358"/>
      <c r="X101" s="357">
        <f>'Fixed inputs'!X183</f>
        <v>1</v>
      </c>
      <c r="Y101" s="357">
        <f>'Fixed inputs'!Y183</f>
        <v>1</v>
      </c>
      <c r="Z101" s="357">
        <f>'Fixed inputs'!Z183</f>
        <v>1</v>
      </c>
      <c r="AA101" s="357">
        <f>'Fixed inputs'!AA183</f>
        <v>1</v>
      </c>
      <c r="AB101" s="358"/>
      <c r="AC101" s="357">
        <f>'Fixed inputs'!AC183</f>
        <v>1</v>
      </c>
      <c r="AD101" s="357">
        <f>'Fixed inputs'!AD183</f>
        <v>1</v>
      </c>
      <c r="AE101" s="357">
        <f>'Fixed inputs'!AE183</f>
        <v>1</v>
      </c>
      <c r="AF101" s="357">
        <f>'Fixed inputs'!AF183</f>
        <v>1</v>
      </c>
      <c r="AG101" s="357">
        <f>'Fixed inputs'!AG183</f>
        <v>1</v>
      </c>
      <c r="AH101" s="358"/>
      <c r="AI101" s="358"/>
      <c r="AJ101" s="358"/>
      <c r="AK101" s="358"/>
      <c r="AL101" s="358"/>
      <c r="AM101" s="358"/>
      <c r="AN101" s="358"/>
      <c r="AO101" s="358"/>
    </row>
    <row r="102" spans="1:41" x14ac:dyDescent="0.35">
      <c r="A102" s="320"/>
      <c r="B102" s="320"/>
      <c r="C102" s="29"/>
      <c r="D102"/>
      <c r="E10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row>
    <row r="103" spans="1:41" x14ac:dyDescent="0.35">
      <c r="A103" s="320"/>
      <c r="B103" s="320"/>
      <c r="C103" s="29"/>
      <c r="D103"/>
      <c r="E103" s="32" t="s">
        <v>1020</v>
      </c>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row>
    <row r="104" spans="1:41" x14ac:dyDescent="0.35">
      <c r="A104" s="320"/>
      <c r="B104" s="320"/>
      <c r="C104" s="29"/>
      <c r="D104"/>
      <c r="E104"/>
      <c r="F104" s="23" t="s">
        <v>998</v>
      </c>
      <c r="G104" s="23" t="s">
        <v>149</v>
      </c>
      <c r="H104" s="23"/>
      <c r="I104" s="23"/>
      <c r="J104" s="361">
        <f>MAX((J$35-1)*MAX($J$36:$AO$36)+J94,0)</f>
        <v>1</v>
      </c>
      <c r="K104" s="360"/>
      <c r="L104" s="360"/>
      <c r="M104" s="361">
        <f t="shared" ref="M104:P111" si="24">MAX((M$35-1)*MAX($J$36:$AO$36)+M94,0)</f>
        <v>5</v>
      </c>
      <c r="N104" s="361">
        <f t="shared" si="24"/>
        <v>6</v>
      </c>
      <c r="O104" s="361">
        <f t="shared" si="24"/>
        <v>7</v>
      </c>
      <c r="P104" s="361">
        <f t="shared" si="24"/>
        <v>8</v>
      </c>
      <c r="Q104" s="360"/>
      <c r="R104" s="360"/>
      <c r="S104" s="361">
        <f t="shared" ref="S104:V104" si="25">MAX((S$35-1)*MAX($J$36:$AO$36)+S94,0)</f>
        <v>9</v>
      </c>
      <c r="T104" s="361">
        <f t="shared" si="25"/>
        <v>10</v>
      </c>
      <c r="U104" s="361">
        <f t="shared" si="25"/>
        <v>11</v>
      </c>
      <c r="V104" s="361">
        <f t="shared" si="25"/>
        <v>12</v>
      </c>
      <c r="W104" s="360"/>
      <c r="X104" s="361">
        <f t="shared" ref="X104:AA104" si="26">MAX((X$35-1)*MAX($J$36:$AO$36)+X94,0)</f>
        <v>9</v>
      </c>
      <c r="Y104" s="361">
        <f t="shared" si="26"/>
        <v>10</v>
      </c>
      <c r="Z104" s="361">
        <f t="shared" si="26"/>
        <v>11</v>
      </c>
      <c r="AA104" s="361">
        <f t="shared" si="26"/>
        <v>12</v>
      </c>
      <c r="AB104" s="360"/>
      <c r="AC104" s="361">
        <f t="shared" ref="AC104:AG104" si="27">MAX((AC$35-1)*MAX($J$36:$AO$36)+AC94,0)</f>
        <v>13</v>
      </c>
      <c r="AD104" s="361">
        <f t="shared" si="27"/>
        <v>14</v>
      </c>
      <c r="AE104" s="361">
        <f t="shared" si="27"/>
        <v>15</v>
      </c>
      <c r="AF104" s="361">
        <f t="shared" si="27"/>
        <v>16</v>
      </c>
      <c r="AG104" s="361">
        <f t="shared" si="27"/>
        <v>17</v>
      </c>
      <c r="AH104" s="360"/>
      <c r="AI104" s="360"/>
      <c r="AJ104" s="360"/>
      <c r="AK104" s="360"/>
      <c r="AL104" s="360"/>
      <c r="AM104" s="360"/>
      <c r="AN104" s="360"/>
      <c r="AO104" s="360"/>
    </row>
    <row r="105" spans="1:41" x14ac:dyDescent="0.35">
      <c r="A105" s="320"/>
      <c r="B105" s="320"/>
      <c r="C105" s="29"/>
      <c r="D105"/>
      <c r="E105"/>
      <c r="F105" s="311" t="s">
        <v>999</v>
      </c>
      <c r="G105" s="311" t="s">
        <v>149</v>
      </c>
      <c r="H105" s="311"/>
      <c r="I105" s="311"/>
      <c r="J105" s="362">
        <f t="shared" ref="J105:J111" si="28">MAX((J$35-1)*MAX($J$36:$AO$36)+J95,0)</f>
        <v>1</v>
      </c>
      <c r="K105" s="356"/>
      <c r="L105" s="356"/>
      <c r="M105" s="362">
        <f t="shared" si="24"/>
        <v>5</v>
      </c>
      <c r="N105" s="362">
        <f t="shared" si="24"/>
        <v>5</v>
      </c>
      <c r="O105" s="362">
        <f t="shared" si="24"/>
        <v>6</v>
      </c>
      <c r="P105" s="362">
        <f t="shared" si="24"/>
        <v>7</v>
      </c>
      <c r="Q105" s="356"/>
      <c r="R105" s="356"/>
      <c r="S105" s="362">
        <f t="shared" ref="S105:V105" si="29">MAX((S$35-1)*MAX($J$36:$AO$36)+S95,0)</f>
        <v>9</v>
      </c>
      <c r="T105" s="362">
        <f t="shared" si="29"/>
        <v>9</v>
      </c>
      <c r="U105" s="362">
        <f t="shared" si="29"/>
        <v>10</v>
      </c>
      <c r="V105" s="362">
        <f t="shared" si="29"/>
        <v>11</v>
      </c>
      <c r="W105" s="356"/>
      <c r="X105" s="362">
        <f t="shared" ref="X105:AA105" si="30">MAX((X$35-1)*MAX($J$36:$AO$36)+X95,0)</f>
        <v>9</v>
      </c>
      <c r="Y105" s="362">
        <f t="shared" si="30"/>
        <v>9</v>
      </c>
      <c r="Z105" s="362">
        <f t="shared" si="30"/>
        <v>10</v>
      </c>
      <c r="AA105" s="362">
        <f t="shared" si="30"/>
        <v>11</v>
      </c>
      <c r="AB105" s="356"/>
      <c r="AC105" s="362">
        <f t="shared" ref="AC105:AG105" si="31">MAX((AC$35-1)*MAX($J$36:$AO$36)+AC95,0)</f>
        <v>13</v>
      </c>
      <c r="AD105" s="362">
        <f t="shared" si="31"/>
        <v>13</v>
      </c>
      <c r="AE105" s="362">
        <f t="shared" si="31"/>
        <v>14</v>
      </c>
      <c r="AF105" s="362">
        <f t="shared" si="31"/>
        <v>15</v>
      </c>
      <c r="AG105" s="362">
        <f t="shared" si="31"/>
        <v>17</v>
      </c>
      <c r="AH105" s="356"/>
      <c r="AI105" s="356"/>
      <c r="AJ105" s="356"/>
      <c r="AK105" s="356"/>
      <c r="AL105" s="356"/>
      <c r="AM105" s="356"/>
      <c r="AN105" s="356"/>
      <c r="AO105" s="356"/>
    </row>
    <row r="106" spans="1:41" x14ac:dyDescent="0.35">
      <c r="A106" s="320"/>
      <c r="B106" s="320"/>
      <c r="C106" s="29"/>
      <c r="D106"/>
      <c r="E106"/>
      <c r="F106" s="311" t="s">
        <v>1000</v>
      </c>
      <c r="G106" s="311" t="s">
        <v>149</v>
      </c>
      <c r="H106" s="311"/>
      <c r="I106" s="311"/>
      <c r="J106" s="362">
        <f t="shared" si="28"/>
        <v>1</v>
      </c>
      <c r="K106" s="356"/>
      <c r="L106" s="356"/>
      <c r="M106" s="362">
        <f t="shared" si="24"/>
        <v>5</v>
      </c>
      <c r="N106" s="362">
        <f t="shared" si="24"/>
        <v>6</v>
      </c>
      <c r="O106" s="362">
        <f t="shared" si="24"/>
        <v>6</v>
      </c>
      <c r="P106" s="362">
        <f t="shared" si="24"/>
        <v>7</v>
      </c>
      <c r="Q106" s="356"/>
      <c r="R106" s="356"/>
      <c r="S106" s="362">
        <f t="shared" ref="S106:V106" si="32">MAX((S$35-1)*MAX($J$36:$AO$36)+S96,0)</f>
        <v>9</v>
      </c>
      <c r="T106" s="362">
        <f t="shared" si="32"/>
        <v>10</v>
      </c>
      <c r="U106" s="362">
        <f t="shared" si="32"/>
        <v>10</v>
      </c>
      <c r="V106" s="362">
        <f t="shared" si="32"/>
        <v>11</v>
      </c>
      <c r="W106" s="356"/>
      <c r="X106" s="362">
        <f t="shared" ref="X106:AA106" si="33">MAX((X$35-1)*MAX($J$36:$AO$36)+X96,0)</f>
        <v>9</v>
      </c>
      <c r="Y106" s="362">
        <f t="shared" si="33"/>
        <v>10</v>
      </c>
      <c r="Z106" s="362">
        <f t="shared" si="33"/>
        <v>10</v>
      </c>
      <c r="AA106" s="362">
        <f t="shared" si="33"/>
        <v>11</v>
      </c>
      <c r="AB106" s="356"/>
      <c r="AC106" s="362">
        <f t="shared" ref="AC106:AG106" si="34">MAX((AC$35-1)*MAX($J$36:$AO$36)+AC96,0)</f>
        <v>13</v>
      </c>
      <c r="AD106" s="362">
        <f t="shared" si="34"/>
        <v>14</v>
      </c>
      <c r="AE106" s="362">
        <f t="shared" si="34"/>
        <v>14</v>
      </c>
      <c r="AF106" s="362">
        <f t="shared" si="34"/>
        <v>15</v>
      </c>
      <c r="AG106" s="362">
        <f t="shared" si="34"/>
        <v>17</v>
      </c>
      <c r="AH106" s="356"/>
      <c r="AI106" s="356"/>
      <c r="AJ106" s="356"/>
      <c r="AK106" s="356"/>
      <c r="AL106" s="356"/>
      <c r="AM106" s="356"/>
      <c r="AN106" s="356"/>
      <c r="AO106" s="356"/>
    </row>
    <row r="107" spans="1:41" x14ac:dyDescent="0.35">
      <c r="A107" s="320"/>
      <c r="B107" s="320"/>
      <c r="C107" s="29"/>
      <c r="D107"/>
      <c r="E107"/>
      <c r="F107" s="311" t="s">
        <v>1001</v>
      </c>
      <c r="G107" s="311" t="s">
        <v>149</v>
      </c>
      <c r="H107" s="311"/>
      <c r="I107" s="311"/>
      <c r="J107" s="362">
        <f t="shared" si="28"/>
        <v>1</v>
      </c>
      <c r="K107" s="356"/>
      <c r="L107" s="356"/>
      <c r="M107" s="362">
        <f t="shared" si="24"/>
        <v>5</v>
      </c>
      <c r="N107" s="362">
        <f t="shared" si="24"/>
        <v>6</v>
      </c>
      <c r="O107" s="362">
        <f t="shared" si="24"/>
        <v>7</v>
      </c>
      <c r="P107" s="362">
        <f t="shared" si="24"/>
        <v>7</v>
      </c>
      <c r="Q107" s="356"/>
      <c r="R107" s="356"/>
      <c r="S107" s="362">
        <f t="shared" ref="S107:V107" si="35">MAX((S$35-1)*MAX($J$36:$AO$36)+S97,0)</f>
        <v>9</v>
      </c>
      <c r="T107" s="362">
        <f t="shared" si="35"/>
        <v>10</v>
      </c>
      <c r="U107" s="362">
        <f t="shared" si="35"/>
        <v>11</v>
      </c>
      <c r="V107" s="362">
        <f t="shared" si="35"/>
        <v>11</v>
      </c>
      <c r="W107" s="356"/>
      <c r="X107" s="362">
        <f t="shared" ref="X107:AA107" si="36">MAX((X$35-1)*MAX($J$36:$AO$36)+X97,0)</f>
        <v>9</v>
      </c>
      <c r="Y107" s="362">
        <f t="shared" si="36"/>
        <v>10</v>
      </c>
      <c r="Z107" s="362">
        <f t="shared" si="36"/>
        <v>11</v>
      </c>
      <c r="AA107" s="362">
        <f t="shared" si="36"/>
        <v>11</v>
      </c>
      <c r="AB107" s="356"/>
      <c r="AC107" s="362">
        <f t="shared" ref="AC107:AG107" si="37">MAX((AC$35-1)*MAX($J$36:$AO$36)+AC97,0)</f>
        <v>13</v>
      </c>
      <c r="AD107" s="362">
        <f t="shared" si="37"/>
        <v>14</v>
      </c>
      <c r="AE107" s="362">
        <f t="shared" si="37"/>
        <v>15</v>
      </c>
      <c r="AF107" s="362">
        <f t="shared" si="37"/>
        <v>15</v>
      </c>
      <c r="AG107" s="362">
        <f t="shared" si="37"/>
        <v>17</v>
      </c>
      <c r="AH107" s="356"/>
      <c r="AI107" s="356"/>
      <c r="AJ107" s="356"/>
      <c r="AK107" s="356"/>
      <c r="AL107" s="356"/>
      <c r="AM107" s="356"/>
      <c r="AN107" s="356"/>
      <c r="AO107" s="356"/>
    </row>
    <row r="108" spans="1:41" x14ac:dyDescent="0.35">
      <c r="A108" s="320"/>
      <c r="B108" s="320"/>
      <c r="C108" s="29"/>
      <c r="D108"/>
      <c r="E108"/>
      <c r="F108" s="311" t="s">
        <v>1002</v>
      </c>
      <c r="G108" s="311" t="s">
        <v>149</v>
      </c>
      <c r="H108" s="311"/>
      <c r="I108" s="311"/>
      <c r="J108" s="362">
        <f t="shared" si="28"/>
        <v>1</v>
      </c>
      <c r="K108" s="356"/>
      <c r="L108" s="356"/>
      <c r="M108" s="362">
        <f t="shared" si="24"/>
        <v>5</v>
      </c>
      <c r="N108" s="362">
        <f t="shared" si="24"/>
        <v>5</v>
      </c>
      <c r="O108" s="362">
        <f t="shared" si="24"/>
        <v>6</v>
      </c>
      <c r="P108" s="362">
        <f t="shared" si="24"/>
        <v>6</v>
      </c>
      <c r="Q108" s="356"/>
      <c r="R108" s="356"/>
      <c r="S108" s="362">
        <f t="shared" ref="S108:V108" si="38">MAX((S$35-1)*MAX($J$36:$AO$36)+S98,0)</f>
        <v>9</v>
      </c>
      <c r="T108" s="362">
        <f t="shared" si="38"/>
        <v>9</v>
      </c>
      <c r="U108" s="362">
        <f t="shared" si="38"/>
        <v>10</v>
      </c>
      <c r="V108" s="362">
        <f t="shared" si="38"/>
        <v>10</v>
      </c>
      <c r="W108" s="356"/>
      <c r="X108" s="362">
        <f t="shared" ref="X108:AA108" si="39">MAX((X$35-1)*MAX($J$36:$AO$36)+X98,0)</f>
        <v>9</v>
      </c>
      <c r="Y108" s="362">
        <f t="shared" si="39"/>
        <v>9</v>
      </c>
      <c r="Z108" s="362">
        <f t="shared" si="39"/>
        <v>10</v>
      </c>
      <c r="AA108" s="362">
        <f t="shared" si="39"/>
        <v>10</v>
      </c>
      <c r="AB108" s="356"/>
      <c r="AC108" s="362">
        <f t="shared" ref="AC108:AG108" si="40">MAX((AC$35-1)*MAX($J$36:$AO$36)+AC98,0)</f>
        <v>13</v>
      </c>
      <c r="AD108" s="362">
        <f t="shared" si="40"/>
        <v>13</v>
      </c>
      <c r="AE108" s="362">
        <f t="shared" si="40"/>
        <v>14</v>
      </c>
      <c r="AF108" s="362">
        <f t="shared" si="40"/>
        <v>14</v>
      </c>
      <c r="AG108" s="362">
        <f t="shared" si="40"/>
        <v>17</v>
      </c>
      <c r="AH108" s="356"/>
      <c r="AI108" s="356"/>
      <c r="AJ108" s="356"/>
      <c r="AK108" s="356"/>
      <c r="AL108" s="356"/>
      <c r="AM108" s="356"/>
      <c r="AN108" s="356"/>
      <c r="AO108" s="356"/>
    </row>
    <row r="109" spans="1:41" x14ac:dyDescent="0.35">
      <c r="A109" s="320"/>
      <c r="B109" s="320"/>
      <c r="C109" s="29"/>
      <c r="D109"/>
      <c r="E109"/>
      <c r="F109" s="311" t="s">
        <v>1003</v>
      </c>
      <c r="G109" s="311" t="s">
        <v>149</v>
      </c>
      <c r="H109" s="311"/>
      <c r="I109" s="311"/>
      <c r="J109" s="362">
        <f t="shared" si="28"/>
        <v>1</v>
      </c>
      <c r="K109" s="356"/>
      <c r="L109" s="356"/>
      <c r="M109" s="362">
        <f t="shared" si="24"/>
        <v>5</v>
      </c>
      <c r="N109" s="362">
        <f t="shared" si="24"/>
        <v>5</v>
      </c>
      <c r="O109" s="362">
        <f t="shared" si="24"/>
        <v>5</v>
      </c>
      <c r="P109" s="362">
        <f t="shared" si="24"/>
        <v>6</v>
      </c>
      <c r="Q109" s="356"/>
      <c r="R109" s="356"/>
      <c r="S109" s="362">
        <f t="shared" ref="S109:V109" si="41">MAX((S$35-1)*MAX($J$36:$AO$36)+S99,0)</f>
        <v>9</v>
      </c>
      <c r="T109" s="362">
        <f t="shared" si="41"/>
        <v>9</v>
      </c>
      <c r="U109" s="362">
        <f t="shared" si="41"/>
        <v>9</v>
      </c>
      <c r="V109" s="362">
        <f t="shared" si="41"/>
        <v>10</v>
      </c>
      <c r="W109" s="356"/>
      <c r="X109" s="362">
        <f t="shared" ref="X109:AA109" si="42">MAX((X$35-1)*MAX($J$36:$AO$36)+X99,0)</f>
        <v>9</v>
      </c>
      <c r="Y109" s="362">
        <f t="shared" si="42"/>
        <v>9</v>
      </c>
      <c r="Z109" s="362">
        <f t="shared" si="42"/>
        <v>9</v>
      </c>
      <c r="AA109" s="362">
        <f t="shared" si="42"/>
        <v>10</v>
      </c>
      <c r="AB109" s="356"/>
      <c r="AC109" s="362">
        <f t="shared" ref="AC109:AG109" si="43">MAX((AC$35-1)*MAX($J$36:$AO$36)+AC99,0)</f>
        <v>13</v>
      </c>
      <c r="AD109" s="362">
        <f t="shared" si="43"/>
        <v>13</v>
      </c>
      <c r="AE109" s="362">
        <f t="shared" si="43"/>
        <v>13</v>
      </c>
      <c r="AF109" s="362">
        <f t="shared" si="43"/>
        <v>14</v>
      </c>
      <c r="AG109" s="362">
        <f t="shared" si="43"/>
        <v>17</v>
      </c>
      <c r="AH109" s="356"/>
      <c r="AI109" s="356"/>
      <c r="AJ109" s="356"/>
      <c r="AK109" s="356"/>
      <c r="AL109" s="356"/>
      <c r="AM109" s="356"/>
      <c r="AN109" s="356"/>
      <c r="AO109" s="356"/>
    </row>
    <row r="110" spans="1:41" x14ac:dyDescent="0.35">
      <c r="A110" s="320"/>
      <c r="B110" s="320"/>
      <c r="C110" s="29"/>
      <c r="D110"/>
      <c r="E110"/>
      <c r="F110" s="311" t="s">
        <v>1004</v>
      </c>
      <c r="G110" s="311" t="s">
        <v>149</v>
      </c>
      <c r="H110" s="311"/>
      <c r="I110" s="311"/>
      <c r="J110" s="362">
        <f t="shared" si="28"/>
        <v>1</v>
      </c>
      <c r="K110" s="356"/>
      <c r="L110" s="356"/>
      <c r="M110" s="362">
        <f t="shared" si="24"/>
        <v>5</v>
      </c>
      <c r="N110" s="362">
        <f t="shared" si="24"/>
        <v>6</v>
      </c>
      <c r="O110" s="362">
        <f t="shared" si="24"/>
        <v>6</v>
      </c>
      <c r="P110" s="362">
        <f t="shared" si="24"/>
        <v>6</v>
      </c>
      <c r="Q110" s="356"/>
      <c r="R110" s="356"/>
      <c r="S110" s="362">
        <f t="shared" ref="S110:V110" si="44">MAX((S$35-1)*MAX($J$36:$AO$36)+S100,0)</f>
        <v>9</v>
      </c>
      <c r="T110" s="362">
        <f t="shared" si="44"/>
        <v>10</v>
      </c>
      <c r="U110" s="362">
        <f t="shared" si="44"/>
        <v>10</v>
      </c>
      <c r="V110" s="362">
        <f t="shared" si="44"/>
        <v>10</v>
      </c>
      <c r="W110" s="356"/>
      <c r="X110" s="362">
        <f t="shared" ref="X110:AA110" si="45">MAX((X$35-1)*MAX($J$36:$AO$36)+X100,0)</f>
        <v>9</v>
      </c>
      <c r="Y110" s="362">
        <f t="shared" si="45"/>
        <v>10</v>
      </c>
      <c r="Z110" s="362">
        <f t="shared" si="45"/>
        <v>10</v>
      </c>
      <c r="AA110" s="362">
        <f t="shared" si="45"/>
        <v>10</v>
      </c>
      <c r="AB110" s="356"/>
      <c r="AC110" s="362">
        <f t="shared" ref="AC110:AG110" si="46">MAX((AC$35-1)*MAX($J$36:$AO$36)+AC100,0)</f>
        <v>13</v>
      </c>
      <c r="AD110" s="362">
        <f t="shared" si="46"/>
        <v>14</v>
      </c>
      <c r="AE110" s="362">
        <f t="shared" si="46"/>
        <v>14</v>
      </c>
      <c r="AF110" s="362">
        <f t="shared" si="46"/>
        <v>14</v>
      </c>
      <c r="AG110" s="362">
        <f t="shared" si="46"/>
        <v>17</v>
      </c>
      <c r="AH110" s="356"/>
      <c r="AI110" s="356"/>
      <c r="AJ110" s="356"/>
      <c r="AK110" s="356"/>
      <c r="AL110" s="356"/>
      <c r="AM110" s="356"/>
      <c r="AN110" s="356"/>
      <c r="AO110" s="356"/>
    </row>
    <row r="111" spans="1:41" x14ac:dyDescent="0.35">
      <c r="A111" s="320"/>
      <c r="B111" s="320"/>
      <c r="C111" s="29"/>
      <c r="D111"/>
      <c r="E111"/>
      <c r="F111" s="37" t="s">
        <v>1005</v>
      </c>
      <c r="G111" s="37" t="s">
        <v>149</v>
      </c>
      <c r="H111" s="37"/>
      <c r="I111" s="37"/>
      <c r="J111" s="363">
        <f t="shared" si="28"/>
        <v>1</v>
      </c>
      <c r="K111" s="358"/>
      <c r="L111" s="358"/>
      <c r="M111" s="363">
        <f t="shared" si="24"/>
        <v>5</v>
      </c>
      <c r="N111" s="363">
        <f t="shared" si="24"/>
        <v>5</v>
      </c>
      <c r="O111" s="363">
        <f t="shared" si="24"/>
        <v>5</v>
      </c>
      <c r="P111" s="363">
        <f t="shared" si="24"/>
        <v>5</v>
      </c>
      <c r="Q111" s="358"/>
      <c r="R111" s="358"/>
      <c r="S111" s="363">
        <f t="shared" ref="S111:V111" si="47">MAX((S$35-1)*MAX($J$36:$AO$36)+S101,0)</f>
        <v>9</v>
      </c>
      <c r="T111" s="363">
        <f t="shared" si="47"/>
        <v>9</v>
      </c>
      <c r="U111" s="363">
        <f t="shared" si="47"/>
        <v>9</v>
      </c>
      <c r="V111" s="363">
        <f t="shared" si="47"/>
        <v>9</v>
      </c>
      <c r="W111" s="358"/>
      <c r="X111" s="363">
        <f t="shared" ref="X111:AA111" si="48">MAX((X$35-1)*MAX($J$36:$AO$36)+X101,0)</f>
        <v>9</v>
      </c>
      <c r="Y111" s="363">
        <f t="shared" si="48"/>
        <v>9</v>
      </c>
      <c r="Z111" s="363">
        <f t="shared" si="48"/>
        <v>9</v>
      </c>
      <c r="AA111" s="363">
        <f t="shared" si="48"/>
        <v>9</v>
      </c>
      <c r="AB111" s="358"/>
      <c r="AC111" s="363">
        <f t="shared" ref="AC111:AG111" si="49">MAX((AC$35-1)*MAX($J$36:$AO$36)+AC101,0)</f>
        <v>13</v>
      </c>
      <c r="AD111" s="363">
        <f t="shared" si="49"/>
        <v>13</v>
      </c>
      <c r="AE111" s="363">
        <f t="shared" si="49"/>
        <v>13</v>
      </c>
      <c r="AF111" s="363">
        <f t="shared" si="49"/>
        <v>13</v>
      </c>
      <c r="AG111" s="363">
        <f t="shared" si="49"/>
        <v>17</v>
      </c>
      <c r="AH111" s="358"/>
      <c r="AI111" s="358"/>
      <c r="AJ111" s="358"/>
      <c r="AK111" s="358"/>
      <c r="AL111" s="358"/>
      <c r="AM111" s="358"/>
      <c r="AN111" s="358"/>
      <c r="AO111" s="358"/>
    </row>
    <row r="112" spans="1:41" x14ac:dyDescent="0.35">
      <c r="A112" s="320"/>
      <c r="B112" s="320"/>
      <c r="C112" s="29"/>
      <c r="D112"/>
      <c r="E112"/>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row>
    <row r="113" spans="1:41" x14ac:dyDescent="0.35">
      <c r="A113" s="320"/>
      <c r="B113" s="320"/>
      <c r="C113" s="29"/>
      <c r="D113"/>
      <c r="E113" s="32" t="s">
        <v>1021</v>
      </c>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row>
    <row r="114" spans="1:41" x14ac:dyDescent="0.35">
      <c r="A114" s="320"/>
      <c r="B114" s="320"/>
      <c r="C114" s="29"/>
      <c r="D114"/>
      <c r="E114"/>
      <c r="F114" s="23" t="s">
        <v>998</v>
      </c>
      <c r="G114" s="23" t="s">
        <v>212</v>
      </c>
      <c r="H114" s="23"/>
      <c r="I114" s="23"/>
      <c r="J114" s="361">
        <f t="shared" ref="J114:J121" si="50">SUMIF($J104:$AO104, J104, $J$56:$AO$56)</f>
        <v>712324.84882153419</v>
      </c>
      <c r="K114" s="360"/>
      <c r="L114" s="360"/>
      <c r="M114" s="361">
        <f t="shared" ref="M114:P121" si="51">SUMIF($J104:$AO104, M104, $J$56:$AO$56)</f>
        <v>28329.108328901191</v>
      </c>
      <c r="N114" s="361">
        <f t="shared" si="51"/>
        <v>22980.280138707854</v>
      </c>
      <c r="O114" s="361">
        <f t="shared" si="51"/>
        <v>12975.537490776003</v>
      </c>
      <c r="P114" s="361">
        <f t="shared" si="51"/>
        <v>10495.022784677198</v>
      </c>
      <c r="Q114" s="360"/>
      <c r="R114" s="360"/>
      <c r="S114" s="361">
        <f t="shared" ref="S114:V121" si="52">SUMIF($J104:$AO104, S104, $J$56:$AO$56)</f>
        <v>3255.1260864192959</v>
      </c>
      <c r="T114" s="361">
        <f t="shared" si="52"/>
        <v>1759.9382487946436</v>
      </c>
      <c r="U114" s="361">
        <f t="shared" si="52"/>
        <v>829.93165381912877</v>
      </c>
      <c r="V114" s="361">
        <f t="shared" si="52"/>
        <v>1058.2179023624296</v>
      </c>
      <c r="W114" s="360"/>
      <c r="X114" s="361">
        <f t="shared" ref="X114:AA121" si="53">SUMIF($J104:$AO104, X104, $J$56:$AO$56)</f>
        <v>3255.1260864192959</v>
      </c>
      <c r="Y114" s="361">
        <f t="shared" si="53"/>
        <v>1759.9382487946436</v>
      </c>
      <c r="Z114" s="361">
        <f t="shared" si="53"/>
        <v>829.93165381912877</v>
      </c>
      <c r="AA114" s="361">
        <f t="shared" si="53"/>
        <v>1058.2179023624296</v>
      </c>
      <c r="AB114" s="360"/>
      <c r="AC114" s="361">
        <f t="shared" ref="AC114:AG121" si="54">SUMIF($J104:$AO104, AC104, $J$56:$AO$56)</f>
        <v>429.93232794509885</v>
      </c>
      <c r="AD114" s="361">
        <f t="shared" si="54"/>
        <v>153.6209037501672</v>
      </c>
      <c r="AE114" s="361">
        <f t="shared" si="54"/>
        <v>59.798741057112068</v>
      </c>
      <c r="AF114" s="361">
        <f t="shared" si="54"/>
        <v>54.643677172878263</v>
      </c>
      <c r="AG114" s="361">
        <f t="shared" si="54"/>
        <v>1889.7423367815629</v>
      </c>
      <c r="AH114" s="360"/>
      <c r="AI114" s="360"/>
      <c r="AJ114" s="360"/>
      <c r="AK114" s="360"/>
      <c r="AL114" s="360"/>
      <c r="AM114" s="360"/>
      <c r="AN114" s="360"/>
      <c r="AO114" s="360"/>
    </row>
    <row r="115" spans="1:41" x14ac:dyDescent="0.35">
      <c r="A115" s="320"/>
      <c r="B115" s="320"/>
      <c r="C115" s="29"/>
      <c r="D115"/>
      <c r="E115"/>
      <c r="F115" s="311" t="s">
        <v>999</v>
      </c>
      <c r="G115" s="311" t="s">
        <v>212</v>
      </c>
      <c r="H115" s="311"/>
      <c r="I115" s="311"/>
      <c r="J115" s="362">
        <f t="shared" si="50"/>
        <v>712324.84882153419</v>
      </c>
      <c r="K115" s="356"/>
      <c r="L115" s="356"/>
      <c r="M115" s="362">
        <f t="shared" si="51"/>
        <v>51309.388467609046</v>
      </c>
      <c r="N115" s="362">
        <f t="shared" si="51"/>
        <v>51309.388467609046</v>
      </c>
      <c r="O115" s="362">
        <f t="shared" si="51"/>
        <v>12975.537490776003</v>
      </c>
      <c r="P115" s="362">
        <f t="shared" si="51"/>
        <v>10495.022784677198</v>
      </c>
      <c r="Q115" s="356"/>
      <c r="R115" s="356"/>
      <c r="S115" s="362">
        <f t="shared" si="52"/>
        <v>5015.0643352139396</v>
      </c>
      <c r="T115" s="362">
        <f t="shared" si="52"/>
        <v>5015.0643352139396</v>
      </c>
      <c r="U115" s="362">
        <f t="shared" si="52"/>
        <v>829.93165381912877</v>
      </c>
      <c r="V115" s="362">
        <f t="shared" si="52"/>
        <v>1058.2179023624296</v>
      </c>
      <c r="W115" s="356"/>
      <c r="X115" s="362">
        <f t="shared" si="53"/>
        <v>5015.0643352139396</v>
      </c>
      <c r="Y115" s="362">
        <f t="shared" si="53"/>
        <v>5015.0643352139396</v>
      </c>
      <c r="Z115" s="362">
        <f t="shared" si="53"/>
        <v>829.93165381912877</v>
      </c>
      <c r="AA115" s="362">
        <f t="shared" si="53"/>
        <v>1058.2179023624296</v>
      </c>
      <c r="AB115" s="356"/>
      <c r="AC115" s="362">
        <f t="shared" si="54"/>
        <v>583.55323169526605</v>
      </c>
      <c r="AD115" s="362">
        <f t="shared" si="54"/>
        <v>583.55323169526605</v>
      </c>
      <c r="AE115" s="362">
        <f t="shared" si="54"/>
        <v>59.798741057112068</v>
      </c>
      <c r="AF115" s="362">
        <f t="shared" si="54"/>
        <v>54.643677172878263</v>
      </c>
      <c r="AG115" s="362">
        <f t="shared" si="54"/>
        <v>1889.7423367815629</v>
      </c>
      <c r="AH115" s="356"/>
      <c r="AI115" s="356"/>
      <c r="AJ115" s="356"/>
      <c r="AK115" s="356"/>
      <c r="AL115" s="356"/>
      <c r="AM115" s="356"/>
      <c r="AN115" s="356"/>
      <c r="AO115" s="356"/>
    </row>
    <row r="116" spans="1:41" x14ac:dyDescent="0.35">
      <c r="A116" s="320"/>
      <c r="B116" s="320"/>
      <c r="C116" s="29"/>
      <c r="D116"/>
      <c r="E116"/>
      <c r="F116" s="311" t="s">
        <v>1000</v>
      </c>
      <c r="G116" s="311" t="s">
        <v>212</v>
      </c>
      <c r="H116" s="311"/>
      <c r="I116" s="311"/>
      <c r="J116" s="362">
        <f t="shared" si="50"/>
        <v>712324.84882153419</v>
      </c>
      <c r="K116" s="356"/>
      <c r="L116" s="356"/>
      <c r="M116" s="362">
        <f t="shared" si="51"/>
        <v>28329.108328901191</v>
      </c>
      <c r="N116" s="362">
        <f t="shared" si="51"/>
        <v>35955.817629483856</v>
      </c>
      <c r="O116" s="362">
        <f t="shared" si="51"/>
        <v>35955.817629483856</v>
      </c>
      <c r="P116" s="362">
        <f t="shared" si="51"/>
        <v>10495.022784677198</v>
      </c>
      <c r="Q116" s="356"/>
      <c r="R116" s="356"/>
      <c r="S116" s="362">
        <f t="shared" si="52"/>
        <v>3255.1260864192959</v>
      </c>
      <c r="T116" s="362">
        <f t="shared" si="52"/>
        <v>2589.8699026137724</v>
      </c>
      <c r="U116" s="362">
        <f t="shared" si="52"/>
        <v>2589.8699026137724</v>
      </c>
      <c r="V116" s="362">
        <f t="shared" si="52"/>
        <v>1058.2179023624296</v>
      </c>
      <c r="W116" s="356"/>
      <c r="X116" s="362">
        <f t="shared" si="53"/>
        <v>3255.1260864192959</v>
      </c>
      <c r="Y116" s="362">
        <f t="shared" si="53"/>
        <v>2589.8699026137724</v>
      </c>
      <c r="Z116" s="362">
        <f t="shared" si="53"/>
        <v>2589.8699026137724</v>
      </c>
      <c r="AA116" s="362">
        <f t="shared" si="53"/>
        <v>1058.2179023624296</v>
      </c>
      <c r="AB116" s="356"/>
      <c r="AC116" s="362">
        <f t="shared" si="54"/>
        <v>429.93232794509885</v>
      </c>
      <c r="AD116" s="362">
        <f t="shared" si="54"/>
        <v>213.41964480727927</v>
      </c>
      <c r="AE116" s="362">
        <f t="shared" si="54"/>
        <v>213.41964480727927</v>
      </c>
      <c r="AF116" s="362">
        <f t="shared" si="54"/>
        <v>54.643677172878263</v>
      </c>
      <c r="AG116" s="362">
        <f t="shared" si="54"/>
        <v>1889.7423367815629</v>
      </c>
      <c r="AH116" s="356"/>
      <c r="AI116" s="356"/>
      <c r="AJ116" s="356"/>
      <c r="AK116" s="356"/>
      <c r="AL116" s="356"/>
      <c r="AM116" s="356"/>
      <c r="AN116" s="356"/>
      <c r="AO116" s="356"/>
    </row>
    <row r="117" spans="1:41" x14ac:dyDescent="0.35">
      <c r="A117" s="320"/>
      <c r="B117" s="320"/>
      <c r="C117" s="29"/>
      <c r="D117"/>
      <c r="E117"/>
      <c r="F117" s="311" t="s">
        <v>1001</v>
      </c>
      <c r="G117" s="311" t="s">
        <v>212</v>
      </c>
      <c r="H117" s="311"/>
      <c r="I117" s="311"/>
      <c r="J117" s="362">
        <f t="shared" si="50"/>
        <v>712324.84882153419</v>
      </c>
      <c r="K117" s="356"/>
      <c r="L117" s="356"/>
      <c r="M117" s="362">
        <f t="shared" si="51"/>
        <v>28329.108328901191</v>
      </c>
      <c r="N117" s="362">
        <f t="shared" si="51"/>
        <v>22980.280138707854</v>
      </c>
      <c r="O117" s="362">
        <f t="shared" si="51"/>
        <v>23470.560275453201</v>
      </c>
      <c r="P117" s="362">
        <f t="shared" si="51"/>
        <v>23470.560275453201</v>
      </c>
      <c r="Q117" s="356"/>
      <c r="R117" s="356"/>
      <c r="S117" s="362">
        <f t="shared" si="52"/>
        <v>3255.1260864192959</v>
      </c>
      <c r="T117" s="362">
        <f t="shared" si="52"/>
        <v>1759.9382487946436</v>
      </c>
      <c r="U117" s="362">
        <f t="shared" si="52"/>
        <v>1888.1495561815584</v>
      </c>
      <c r="V117" s="362">
        <f t="shared" si="52"/>
        <v>1888.1495561815584</v>
      </c>
      <c r="W117" s="356"/>
      <c r="X117" s="362">
        <f t="shared" si="53"/>
        <v>3255.1260864192959</v>
      </c>
      <c r="Y117" s="362">
        <f t="shared" si="53"/>
        <v>1759.9382487946436</v>
      </c>
      <c r="Z117" s="362">
        <f t="shared" si="53"/>
        <v>1888.1495561815584</v>
      </c>
      <c r="AA117" s="362">
        <f t="shared" si="53"/>
        <v>1888.1495561815584</v>
      </c>
      <c r="AB117" s="356"/>
      <c r="AC117" s="362">
        <f t="shared" si="54"/>
        <v>429.93232794509885</v>
      </c>
      <c r="AD117" s="362">
        <f t="shared" si="54"/>
        <v>153.6209037501672</v>
      </c>
      <c r="AE117" s="362">
        <f t="shared" si="54"/>
        <v>114.44241822999032</v>
      </c>
      <c r="AF117" s="362">
        <f t="shared" si="54"/>
        <v>114.44241822999032</v>
      </c>
      <c r="AG117" s="362">
        <f t="shared" si="54"/>
        <v>1889.7423367815629</v>
      </c>
      <c r="AH117" s="356"/>
      <c r="AI117" s="356"/>
      <c r="AJ117" s="356"/>
      <c r="AK117" s="356"/>
      <c r="AL117" s="356"/>
      <c r="AM117" s="356"/>
      <c r="AN117" s="356"/>
      <c r="AO117" s="356"/>
    </row>
    <row r="118" spans="1:41" x14ac:dyDescent="0.35">
      <c r="A118" s="320"/>
      <c r="B118" s="320"/>
      <c r="C118" s="29"/>
      <c r="D118"/>
      <c r="E118"/>
      <c r="F118" s="311" t="s">
        <v>1002</v>
      </c>
      <c r="G118" s="311" t="s">
        <v>212</v>
      </c>
      <c r="H118" s="311"/>
      <c r="I118" s="311"/>
      <c r="J118" s="362">
        <f t="shared" si="50"/>
        <v>712324.84882153419</v>
      </c>
      <c r="K118" s="356"/>
      <c r="L118" s="356"/>
      <c r="M118" s="362">
        <f t="shared" si="51"/>
        <v>51309.388467609046</v>
      </c>
      <c r="N118" s="362">
        <f t="shared" si="51"/>
        <v>51309.388467609046</v>
      </c>
      <c r="O118" s="362">
        <f t="shared" si="51"/>
        <v>23470.560275453201</v>
      </c>
      <c r="P118" s="362">
        <f t="shared" si="51"/>
        <v>23470.560275453201</v>
      </c>
      <c r="Q118" s="356"/>
      <c r="R118" s="356"/>
      <c r="S118" s="362">
        <f t="shared" si="52"/>
        <v>5015.0643352139396</v>
      </c>
      <c r="T118" s="362">
        <f t="shared" si="52"/>
        <v>5015.0643352139396</v>
      </c>
      <c r="U118" s="362">
        <f t="shared" si="52"/>
        <v>1888.1495561815584</v>
      </c>
      <c r="V118" s="362">
        <f t="shared" si="52"/>
        <v>1888.1495561815584</v>
      </c>
      <c r="W118" s="356"/>
      <c r="X118" s="362">
        <f t="shared" si="53"/>
        <v>5015.0643352139396</v>
      </c>
      <c r="Y118" s="362">
        <f t="shared" si="53"/>
        <v>5015.0643352139396</v>
      </c>
      <c r="Z118" s="362">
        <f t="shared" si="53"/>
        <v>1888.1495561815584</v>
      </c>
      <c r="AA118" s="362">
        <f t="shared" si="53"/>
        <v>1888.1495561815584</v>
      </c>
      <c r="AB118" s="356"/>
      <c r="AC118" s="362">
        <f t="shared" si="54"/>
        <v>583.55323169526605</v>
      </c>
      <c r="AD118" s="362">
        <f t="shared" si="54"/>
        <v>583.55323169526605</v>
      </c>
      <c r="AE118" s="362">
        <f t="shared" si="54"/>
        <v>114.44241822999032</v>
      </c>
      <c r="AF118" s="362">
        <f t="shared" si="54"/>
        <v>114.44241822999032</v>
      </c>
      <c r="AG118" s="362">
        <f t="shared" si="54"/>
        <v>1889.7423367815629</v>
      </c>
      <c r="AH118" s="356"/>
      <c r="AI118" s="356"/>
      <c r="AJ118" s="356"/>
      <c r="AK118" s="356"/>
      <c r="AL118" s="356"/>
      <c r="AM118" s="356"/>
      <c r="AN118" s="356"/>
      <c r="AO118" s="356"/>
    </row>
    <row r="119" spans="1:41" x14ac:dyDescent="0.35">
      <c r="A119" s="320"/>
      <c r="B119" s="320"/>
      <c r="C119" s="29"/>
      <c r="D119"/>
      <c r="E119"/>
      <c r="F119" s="311" t="s">
        <v>1003</v>
      </c>
      <c r="G119" s="311" t="s">
        <v>212</v>
      </c>
      <c r="H119" s="311"/>
      <c r="I119" s="311"/>
      <c r="J119" s="362">
        <f t="shared" si="50"/>
        <v>712324.84882153419</v>
      </c>
      <c r="K119" s="356"/>
      <c r="L119" s="356"/>
      <c r="M119" s="362">
        <f t="shared" si="51"/>
        <v>64284.925958385051</v>
      </c>
      <c r="N119" s="362">
        <f t="shared" si="51"/>
        <v>64284.925958385051</v>
      </c>
      <c r="O119" s="362">
        <f t="shared" si="51"/>
        <v>64284.925958385051</v>
      </c>
      <c r="P119" s="362">
        <f t="shared" si="51"/>
        <v>10495.022784677198</v>
      </c>
      <c r="Q119" s="356"/>
      <c r="R119" s="356"/>
      <c r="S119" s="362">
        <f t="shared" si="52"/>
        <v>5844.9959890330683</v>
      </c>
      <c r="T119" s="362">
        <f t="shared" si="52"/>
        <v>5844.9959890330683</v>
      </c>
      <c r="U119" s="362">
        <f t="shared" si="52"/>
        <v>5844.9959890330683</v>
      </c>
      <c r="V119" s="362">
        <f t="shared" si="52"/>
        <v>1058.2179023624296</v>
      </c>
      <c r="W119" s="356"/>
      <c r="X119" s="362">
        <f t="shared" si="53"/>
        <v>5844.9959890330683</v>
      </c>
      <c r="Y119" s="362">
        <f t="shared" si="53"/>
        <v>5844.9959890330683</v>
      </c>
      <c r="Z119" s="362">
        <f t="shared" si="53"/>
        <v>5844.9959890330683</v>
      </c>
      <c r="AA119" s="362">
        <f t="shared" si="53"/>
        <v>1058.2179023624296</v>
      </c>
      <c r="AB119" s="356"/>
      <c r="AC119" s="362">
        <f t="shared" si="54"/>
        <v>643.35197275237806</v>
      </c>
      <c r="AD119" s="362">
        <f t="shared" si="54"/>
        <v>643.35197275237806</v>
      </c>
      <c r="AE119" s="362">
        <f t="shared" si="54"/>
        <v>643.35197275237806</v>
      </c>
      <c r="AF119" s="362">
        <f t="shared" si="54"/>
        <v>54.643677172878263</v>
      </c>
      <c r="AG119" s="362">
        <f t="shared" si="54"/>
        <v>1889.7423367815629</v>
      </c>
      <c r="AH119" s="356"/>
      <c r="AI119" s="356"/>
      <c r="AJ119" s="356"/>
      <c r="AK119" s="356"/>
      <c r="AL119" s="356"/>
      <c r="AM119" s="356"/>
      <c r="AN119" s="356"/>
      <c r="AO119" s="356"/>
    </row>
    <row r="120" spans="1:41" x14ac:dyDescent="0.35">
      <c r="A120" s="320"/>
      <c r="B120" s="320"/>
      <c r="C120" s="29"/>
      <c r="D120"/>
      <c r="E120"/>
      <c r="F120" s="311" t="s">
        <v>1004</v>
      </c>
      <c r="G120" s="311" t="s">
        <v>212</v>
      </c>
      <c r="H120" s="311"/>
      <c r="I120" s="311"/>
      <c r="J120" s="362">
        <f t="shared" si="50"/>
        <v>712324.84882153419</v>
      </c>
      <c r="K120" s="356"/>
      <c r="L120" s="356"/>
      <c r="M120" s="362">
        <f t="shared" si="51"/>
        <v>28329.108328901191</v>
      </c>
      <c r="N120" s="362">
        <f t="shared" si="51"/>
        <v>46450.840414161052</v>
      </c>
      <c r="O120" s="362">
        <f t="shared" si="51"/>
        <v>46450.840414161052</v>
      </c>
      <c r="P120" s="362">
        <f t="shared" si="51"/>
        <v>46450.840414161052</v>
      </c>
      <c r="Q120" s="356"/>
      <c r="R120" s="356"/>
      <c r="S120" s="362">
        <f t="shared" si="52"/>
        <v>3255.1260864192959</v>
      </c>
      <c r="T120" s="362">
        <f t="shared" si="52"/>
        <v>3648.0878049762018</v>
      </c>
      <c r="U120" s="362">
        <f t="shared" si="52"/>
        <v>3648.0878049762018</v>
      </c>
      <c r="V120" s="362">
        <f t="shared" si="52"/>
        <v>3648.0878049762018</v>
      </c>
      <c r="W120" s="356"/>
      <c r="X120" s="362">
        <f t="shared" si="53"/>
        <v>3255.1260864192959</v>
      </c>
      <c r="Y120" s="362">
        <f t="shared" si="53"/>
        <v>3648.0878049762018</v>
      </c>
      <c r="Z120" s="362">
        <f t="shared" si="53"/>
        <v>3648.0878049762018</v>
      </c>
      <c r="AA120" s="362">
        <f t="shared" si="53"/>
        <v>3648.0878049762018</v>
      </c>
      <c r="AB120" s="356"/>
      <c r="AC120" s="362">
        <f t="shared" si="54"/>
        <v>429.93232794509885</v>
      </c>
      <c r="AD120" s="362">
        <f t="shared" si="54"/>
        <v>268.06332198015753</v>
      </c>
      <c r="AE120" s="362">
        <f t="shared" si="54"/>
        <v>268.06332198015753</v>
      </c>
      <c r="AF120" s="362">
        <f t="shared" si="54"/>
        <v>268.06332198015753</v>
      </c>
      <c r="AG120" s="362">
        <f t="shared" si="54"/>
        <v>1889.7423367815629</v>
      </c>
      <c r="AH120" s="356"/>
      <c r="AI120" s="356"/>
      <c r="AJ120" s="356"/>
      <c r="AK120" s="356"/>
      <c r="AL120" s="356"/>
      <c r="AM120" s="356"/>
      <c r="AN120" s="356"/>
      <c r="AO120" s="356"/>
    </row>
    <row r="121" spans="1:41" x14ac:dyDescent="0.35">
      <c r="A121" s="320"/>
      <c r="B121" s="320"/>
      <c r="C121" s="29"/>
      <c r="D121"/>
      <c r="E121"/>
      <c r="F121" s="37" t="s">
        <v>1005</v>
      </c>
      <c r="G121" s="37" t="s">
        <v>212</v>
      </c>
      <c r="H121" s="37"/>
      <c r="I121" s="37"/>
      <c r="J121" s="363">
        <f t="shared" si="50"/>
        <v>712324.84882153419</v>
      </c>
      <c r="K121" s="358"/>
      <c r="L121" s="358"/>
      <c r="M121" s="363">
        <f t="shared" si="51"/>
        <v>74779.948743062254</v>
      </c>
      <c r="N121" s="363">
        <f t="shared" si="51"/>
        <v>74779.948743062254</v>
      </c>
      <c r="O121" s="363">
        <f t="shared" si="51"/>
        <v>74779.948743062254</v>
      </c>
      <c r="P121" s="363">
        <f t="shared" si="51"/>
        <v>74779.948743062254</v>
      </c>
      <c r="Q121" s="358"/>
      <c r="R121" s="358"/>
      <c r="S121" s="363">
        <f t="shared" si="52"/>
        <v>6903.2138913954977</v>
      </c>
      <c r="T121" s="363">
        <f t="shared" si="52"/>
        <v>6903.2138913954977</v>
      </c>
      <c r="U121" s="363">
        <f t="shared" si="52"/>
        <v>6903.2138913954977</v>
      </c>
      <c r="V121" s="363">
        <f t="shared" si="52"/>
        <v>6903.2138913954977</v>
      </c>
      <c r="W121" s="358"/>
      <c r="X121" s="363">
        <f t="shared" si="53"/>
        <v>6903.2138913954977</v>
      </c>
      <c r="Y121" s="363">
        <f t="shared" si="53"/>
        <v>6903.2138913954977</v>
      </c>
      <c r="Z121" s="363">
        <f t="shared" si="53"/>
        <v>6903.2138913954977</v>
      </c>
      <c r="AA121" s="363">
        <f t="shared" si="53"/>
        <v>6903.2138913954977</v>
      </c>
      <c r="AB121" s="358"/>
      <c r="AC121" s="363">
        <f t="shared" si="54"/>
        <v>697.99564992525632</v>
      </c>
      <c r="AD121" s="363">
        <f t="shared" si="54"/>
        <v>697.99564992525632</v>
      </c>
      <c r="AE121" s="363">
        <f t="shared" si="54"/>
        <v>697.99564992525632</v>
      </c>
      <c r="AF121" s="363">
        <f t="shared" si="54"/>
        <v>697.99564992525632</v>
      </c>
      <c r="AG121" s="363">
        <f t="shared" si="54"/>
        <v>1889.7423367815629</v>
      </c>
      <c r="AH121" s="358"/>
      <c r="AI121" s="358"/>
      <c r="AJ121" s="358"/>
      <c r="AK121" s="358"/>
      <c r="AL121" s="358"/>
      <c r="AM121" s="358"/>
      <c r="AN121" s="358"/>
      <c r="AO121" s="358"/>
    </row>
    <row r="122" spans="1:41" x14ac:dyDescent="0.35">
      <c r="A122" s="320"/>
      <c r="B122" s="320"/>
      <c r="C122" s="29"/>
      <c r="D122"/>
      <c r="E122"/>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row>
    <row r="123" spans="1:41" x14ac:dyDescent="0.35">
      <c r="A123" s="320"/>
      <c r="B123" s="320"/>
      <c r="C123" s="29"/>
      <c r="D123"/>
      <c r="E123" t="s">
        <v>1013</v>
      </c>
      <c r="G123" t="s">
        <v>149</v>
      </c>
      <c r="H123" s="51">
        <f>'Fixed inputs'!H171</f>
        <v>2</v>
      </c>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row>
    <row r="124" spans="1:41" x14ac:dyDescent="0.35">
      <c r="A124" s="320"/>
      <c r="B124" s="320"/>
      <c r="C124" s="29"/>
      <c r="D124"/>
      <c r="E124"/>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row>
    <row r="125" spans="1:41" x14ac:dyDescent="0.35">
      <c r="A125" s="320"/>
      <c r="B125" s="320"/>
      <c r="C125" s="29"/>
      <c r="D125"/>
      <c r="E125" s="32" t="s">
        <v>1022</v>
      </c>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row>
    <row r="126" spans="1:41" x14ac:dyDescent="0.35">
      <c r="A126" s="320"/>
      <c r="B126" s="320"/>
      <c r="C126" s="29"/>
      <c r="D126"/>
      <c r="E126"/>
      <c r="F126" s="23" t="s">
        <v>998</v>
      </c>
      <c r="G126" s="23" t="s">
        <v>912</v>
      </c>
      <c r="H126" s="23"/>
      <c r="I126" s="23"/>
      <c r="J126" s="361" t="b">
        <f>J114&gt;=$H$123</f>
        <v>1</v>
      </c>
      <c r="K126" s="360"/>
      <c r="L126" s="360"/>
      <c r="M126" s="361" t="b">
        <f t="shared" ref="M126:P126" si="55">M114&gt;=$H$123</f>
        <v>1</v>
      </c>
      <c r="N126" s="361" t="b">
        <f t="shared" si="55"/>
        <v>1</v>
      </c>
      <c r="O126" s="361" t="b">
        <f t="shared" si="55"/>
        <v>1</v>
      </c>
      <c r="P126" s="361" t="b">
        <f t="shared" si="55"/>
        <v>1</v>
      </c>
      <c r="Q126" s="360"/>
      <c r="R126" s="360"/>
      <c r="S126" s="361" t="b">
        <f t="shared" ref="S126:V126" si="56">S114&gt;=$H$123</f>
        <v>1</v>
      </c>
      <c r="T126" s="361" t="b">
        <f t="shared" si="56"/>
        <v>1</v>
      </c>
      <c r="U126" s="361" t="b">
        <f t="shared" si="56"/>
        <v>1</v>
      </c>
      <c r="V126" s="361" t="b">
        <f t="shared" si="56"/>
        <v>1</v>
      </c>
      <c r="W126" s="360"/>
      <c r="X126" s="361" t="b">
        <f t="shared" ref="X126:AA126" si="57">X114&gt;=$H$123</f>
        <v>1</v>
      </c>
      <c r="Y126" s="361" t="b">
        <f t="shared" si="57"/>
        <v>1</v>
      </c>
      <c r="Z126" s="361" t="b">
        <f t="shared" si="57"/>
        <v>1</v>
      </c>
      <c r="AA126" s="361" t="b">
        <f t="shared" si="57"/>
        <v>1</v>
      </c>
      <c r="AB126" s="360"/>
      <c r="AC126" s="361" t="b">
        <f t="shared" ref="AC126:AG126" si="58">AC114&gt;=$H$123</f>
        <v>1</v>
      </c>
      <c r="AD126" s="361" t="b">
        <f t="shared" si="58"/>
        <v>1</v>
      </c>
      <c r="AE126" s="361" t="b">
        <f t="shared" si="58"/>
        <v>1</v>
      </c>
      <c r="AF126" s="361" t="b">
        <f t="shared" si="58"/>
        <v>1</v>
      </c>
      <c r="AG126" s="361" t="b">
        <f t="shared" si="58"/>
        <v>1</v>
      </c>
      <c r="AH126" s="360"/>
      <c r="AI126" s="360"/>
      <c r="AJ126" s="360"/>
      <c r="AK126" s="360"/>
      <c r="AL126" s="360"/>
      <c r="AM126" s="360"/>
      <c r="AN126" s="360"/>
      <c r="AO126" s="360"/>
    </row>
    <row r="127" spans="1:41" x14ac:dyDescent="0.35">
      <c r="A127" s="320"/>
      <c r="B127" s="320"/>
      <c r="C127" s="29"/>
      <c r="D127"/>
      <c r="E127"/>
      <c r="F127" s="311" t="s">
        <v>999</v>
      </c>
      <c r="G127" s="311" t="s">
        <v>912</v>
      </c>
      <c r="H127" s="311"/>
      <c r="I127" s="311"/>
      <c r="J127" s="362" t="b">
        <f t="shared" ref="J127:J133" si="59">J115&gt;=$H$123</f>
        <v>1</v>
      </c>
      <c r="K127" s="356"/>
      <c r="L127" s="356"/>
      <c r="M127" s="362" t="b">
        <f t="shared" ref="M127:P127" si="60">M115&gt;=$H$123</f>
        <v>1</v>
      </c>
      <c r="N127" s="362" t="b">
        <f t="shared" si="60"/>
        <v>1</v>
      </c>
      <c r="O127" s="362" t="b">
        <f t="shared" si="60"/>
        <v>1</v>
      </c>
      <c r="P127" s="362" t="b">
        <f t="shared" si="60"/>
        <v>1</v>
      </c>
      <c r="Q127" s="356"/>
      <c r="R127" s="356"/>
      <c r="S127" s="362" t="b">
        <f t="shared" ref="S127:V127" si="61">S115&gt;=$H$123</f>
        <v>1</v>
      </c>
      <c r="T127" s="362" t="b">
        <f t="shared" si="61"/>
        <v>1</v>
      </c>
      <c r="U127" s="362" t="b">
        <f t="shared" si="61"/>
        <v>1</v>
      </c>
      <c r="V127" s="362" t="b">
        <f t="shared" si="61"/>
        <v>1</v>
      </c>
      <c r="W127" s="356"/>
      <c r="X127" s="362" t="b">
        <f t="shared" ref="X127:AA127" si="62">X115&gt;=$H$123</f>
        <v>1</v>
      </c>
      <c r="Y127" s="362" t="b">
        <f t="shared" si="62"/>
        <v>1</v>
      </c>
      <c r="Z127" s="362" t="b">
        <f t="shared" si="62"/>
        <v>1</v>
      </c>
      <c r="AA127" s="362" t="b">
        <f t="shared" si="62"/>
        <v>1</v>
      </c>
      <c r="AB127" s="356"/>
      <c r="AC127" s="362" t="b">
        <f t="shared" ref="AC127:AG127" si="63">AC115&gt;=$H$123</f>
        <v>1</v>
      </c>
      <c r="AD127" s="362" t="b">
        <f t="shared" si="63"/>
        <v>1</v>
      </c>
      <c r="AE127" s="362" t="b">
        <f t="shared" si="63"/>
        <v>1</v>
      </c>
      <c r="AF127" s="362" t="b">
        <f t="shared" si="63"/>
        <v>1</v>
      </c>
      <c r="AG127" s="362" t="b">
        <f t="shared" si="63"/>
        <v>1</v>
      </c>
      <c r="AH127" s="356"/>
      <c r="AI127" s="356"/>
      <c r="AJ127" s="356"/>
      <c r="AK127" s="356"/>
      <c r="AL127" s="356"/>
      <c r="AM127" s="356"/>
      <c r="AN127" s="356"/>
      <c r="AO127" s="356"/>
    </row>
    <row r="128" spans="1:41" x14ac:dyDescent="0.35">
      <c r="A128" s="320"/>
      <c r="B128" s="320"/>
      <c r="C128" s="29"/>
      <c r="D128"/>
      <c r="E128"/>
      <c r="F128" s="311" t="s">
        <v>1000</v>
      </c>
      <c r="G128" s="311" t="s">
        <v>912</v>
      </c>
      <c r="H128" s="311"/>
      <c r="I128" s="311"/>
      <c r="J128" s="362" t="b">
        <f t="shared" si="59"/>
        <v>1</v>
      </c>
      <c r="K128" s="356"/>
      <c r="L128" s="356"/>
      <c r="M128" s="362" t="b">
        <f t="shared" ref="M128:P128" si="64">M116&gt;=$H$123</f>
        <v>1</v>
      </c>
      <c r="N128" s="362" t="b">
        <f t="shared" si="64"/>
        <v>1</v>
      </c>
      <c r="O128" s="362" t="b">
        <f t="shared" si="64"/>
        <v>1</v>
      </c>
      <c r="P128" s="362" t="b">
        <f t="shared" si="64"/>
        <v>1</v>
      </c>
      <c r="Q128" s="356"/>
      <c r="R128" s="356"/>
      <c r="S128" s="362" t="b">
        <f t="shared" ref="S128:V128" si="65">S116&gt;=$H$123</f>
        <v>1</v>
      </c>
      <c r="T128" s="362" t="b">
        <f t="shared" si="65"/>
        <v>1</v>
      </c>
      <c r="U128" s="362" t="b">
        <f t="shared" si="65"/>
        <v>1</v>
      </c>
      <c r="V128" s="362" t="b">
        <f t="shared" si="65"/>
        <v>1</v>
      </c>
      <c r="W128" s="356"/>
      <c r="X128" s="362" t="b">
        <f t="shared" ref="X128:AA128" si="66">X116&gt;=$H$123</f>
        <v>1</v>
      </c>
      <c r="Y128" s="362" t="b">
        <f t="shared" si="66"/>
        <v>1</v>
      </c>
      <c r="Z128" s="362" t="b">
        <f t="shared" si="66"/>
        <v>1</v>
      </c>
      <c r="AA128" s="362" t="b">
        <f t="shared" si="66"/>
        <v>1</v>
      </c>
      <c r="AB128" s="356"/>
      <c r="AC128" s="362" t="b">
        <f t="shared" ref="AC128:AG128" si="67">AC116&gt;=$H$123</f>
        <v>1</v>
      </c>
      <c r="AD128" s="362" t="b">
        <f t="shared" si="67"/>
        <v>1</v>
      </c>
      <c r="AE128" s="362" t="b">
        <f t="shared" si="67"/>
        <v>1</v>
      </c>
      <c r="AF128" s="362" t="b">
        <f t="shared" si="67"/>
        <v>1</v>
      </c>
      <c r="AG128" s="362" t="b">
        <f t="shared" si="67"/>
        <v>1</v>
      </c>
      <c r="AH128" s="356"/>
      <c r="AI128" s="356"/>
      <c r="AJ128" s="356"/>
      <c r="AK128" s="356"/>
      <c r="AL128" s="356"/>
      <c r="AM128" s="356"/>
      <c r="AN128" s="356"/>
      <c r="AO128" s="356"/>
    </row>
    <row r="129" spans="1:41" x14ac:dyDescent="0.35">
      <c r="A129" s="320"/>
      <c r="B129" s="320"/>
      <c r="C129" s="29"/>
      <c r="D129"/>
      <c r="E129"/>
      <c r="F129" s="311" t="s">
        <v>1001</v>
      </c>
      <c r="G129" s="311" t="s">
        <v>912</v>
      </c>
      <c r="H129" s="311"/>
      <c r="I129" s="311"/>
      <c r="J129" s="362" t="b">
        <f t="shared" si="59"/>
        <v>1</v>
      </c>
      <c r="K129" s="356"/>
      <c r="L129" s="356"/>
      <c r="M129" s="362" t="b">
        <f t="shared" ref="M129:P129" si="68">M117&gt;=$H$123</f>
        <v>1</v>
      </c>
      <c r="N129" s="362" t="b">
        <f t="shared" si="68"/>
        <v>1</v>
      </c>
      <c r="O129" s="362" t="b">
        <f t="shared" si="68"/>
        <v>1</v>
      </c>
      <c r="P129" s="362" t="b">
        <f t="shared" si="68"/>
        <v>1</v>
      </c>
      <c r="Q129" s="356"/>
      <c r="R129" s="356"/>
      <c r="S129" s="362" t="b">
        <f t="shared" ref="S129:V129" si="69">S117&gt;=$H$123</f>
        <v>1</v>
      </c>
      <c r="T129" s="362" t="b">
        <f t="shared" si="69"/>
        <v>1</v>
      </c>
      <c r="U129" s="362" t="b">
        <f t="shared" si="69"/>
        <v>1</v>
      </c>
      <c r="V129" s="362" t="b">
        <f t="shared" si="69"/>
        <v>1</v>
      </c>
      <c r="W129" s="356"/>
      <c r="X129" s="362" t="b">
        <f t="shared" ref="X129:AA129" si="70">X117&gt;=$H$123</f>
        <v>1</v>
      </c>
      <c r="Y129" s="362" t="b">
        <f t="shared" si="70"/>
        <v>1</v>
      </c>
      <c r="Z129" s="362" t="b">
        <f t="shared" si="70"/>
        <v>1</v>
      </c>
      <c r="AA129" s="362" t="b">
        <f t="shared" si="70"/>
        <v>1</v>
      </c>
      <c r="AB129" s="356"/>
      <c r="AC129" s="362" t="b">
        <f t="shared" ref="AC129:AG129" si="71">AC117&gt;=$H$123</f>
        <v>1</v>
      </c>
      <c r="AD129" s="362" t="b">
        <f t="shared" si="71"/>
        <v>1</v>
      </c>
      <c r="AE129" s="362" t="b">
        <f t="shared" si="71"/>
        <v>1</v>
      </c>
      <c r="AF129" s="362" t="b">
        <f t="shared" si="71"/>
        <v>1</v>
      </c>
      <c r="AG129" s="362" t="b">
        <f t="shared" si="71"/>
        <v>1</v>
      </c>
      <c r="AH129" s="356"/>
      <c r="AI129" s="356"/>
      <c r="AJ129" s="356"/>
      <c r="AK129" s="356"/>
      <c r="AL129" s="356"/>
      <c r="AM129" s="356"/>
      <c r="AN129" s="356"/>
      <c r="AO129" s="356"/>
    </row>
    <row r="130" spans="1:41" x14ac:dyDescent="0.35">
      <c r="A130" s="320"/>
      <c r="B130" s="320"/>
      <c r="C130" s="29"/>
      <c r="D130"/>
      <c r="E130"/>
      <c r="F130" s="311" t="s">
        <v>1002</v>
      </c>
      <c r="G130" s="311" t="s">
        <v>912</v>
      </c>
      <c r="H130" s="311"/>
      <c r="I130" s="311"/>
      <c r="J130" s="362" t="b">
        <f t="shared" si="59"/>
        <v>1</v>
      </c>
      <c r="K130" s="356"/>
      <c r="L130" s="356"/>
      <c r="M130" s="362" t="b">
        <f t="shared" ref="M130:P130" si="72">M118&gt;=$H$123</f>
        <v>1</v>
      </c>
      <c r="N130" s="362" t="b">
        <f t="shared" si="72"/>
        <v>1</v>
      </c>
      <c r="O130" s="362" t="b">
        <f t="shared" si="72"/>
        <v>1</v>
      </c>
      <c r="P130" s="362" t="b">
        <f t="shared" si="72"/>
        <v>1</v>
      </c>
      <c r="Q130" s="356"/>
      <c r="R130" s="356"/>
      <c r="S130" s="362" t="b">
        <f t="shared" ref="S130:V130" si="73">S118&gt;=$H$123</f>
        <v>1</v>
      </c>
      <c r="T130" s="362" t="b">
        <f t="shared" si="73"/>
        <v>1</v>
      </c>
      <c r="U130" s="362" t="b">
        <f t="shared" si="73"/>
        <v>1</v>
      </c>
      <c r="V130" s="362" t="b">
        <f t="shared" si="73"/>
        <v>1</v>
      </c>
      <c r="W130" s="356"/>
      <c r="X130" s="362" t="b">
        <f t="shared" ref="X130:AA130" si="74">X118&gt;=$H$123</f>
        <v>1</v>
      </c>
      <c r="Y130" s="362" t="b">
        <f t="shared" si="74"/>
        <v>1</v>
      </c>
      <c r="Z130" s="362" t="b">
        <f t="shared" si="74"/>
        <v>1</v>
      </c>
      <c r="AA130" s="362" t="b">
        <f t="shared" si="74"/>
        <v>1</v>
      </c>
      <c r="AB130" s="356"/>
      <c r="AC130" s="362" t="b">
        <f t="shared" ref="AC130:AG130" si="75">AC118&gt;=$H$123</f>
        <v>1</v>
      </c>
      <c r="AD130" s="362" t="b">
        <f t="shared" si="75"/>
        <v>1</v>
      </c>
      <c r="AE130" s="362" t="b">
        <f t="shared" si="75"/>
        <v>1</v>
      </c>
      <c r="AF130" s="362" t="b">
        <f t="shared" si="75"/>
        <v>1</v>
      </c>
      <c r="AG130" s="362" t="b">
        <f t="shared" si="75"/>
        <v>1</v>
      </c>
      <c r="AH130" s="356"/>
      <c r="AI130" s="356"/>
      <c r="AJ130" s="356"/>
      <c r="AK130" s="356"/>
      <c r="AL130" s="356"/>
      <c r="AM130" s="356"/>
      <c r="AN130" s="356"/>
      <c r="AO130" s="356"/>
    </row>
    <row r="131" spans="1:41" x14ac:dyDescent="0.35">
      <c r="A131" s="320"/>
      <c r="B131" s="320"/>
      <c r="C131" s="29"/>
      <c r="D131"/>
      <c r="E131"/>
      <c r="F131" s="311" t="s">
        <v>1003</v>
      </c>
      <c r="G131" s="311" t="s">
        <v>912</v>
      </c>
      <c r="H131" s="311"/>
      <c r="I131" s="311"/>
      <c r="J131" s="362" t="b">
        <f t="shared" si="59"/>
        <v>1</v>
      </c>
      <c r="K131" s="356"/>
      <c r="L131" s="356"/>
      <c r="M131" s="362" t="b">
        <f t="shared" ref="M131:P131" si="76">M119&gt;=$H$123</f>
        <v>1</v>
      </c>
      <c r="N131" s="362" t="b">
        <f t="shared" si="76"/>
        <v>1</v>
      </c>
      <c r="O131" s="362" t="b">
        <f t="shared" si="76"/>
        <v>1</v>
      </c>
      <c r="P131" s="362" t="b">
        <f t="shared" si="76"/>
        <v>1</v>
      </c>
      <c r="Q131" s="356"/>
      <c r="R131" s="356"/>
      <c r="S131" s="362" t="b">
        <f t="shared" ref="S131:V131" si="77">S119&gt;=$H$123</f>
        <v>1</v>
      </c>
      <c r="T131" s="362" t="b">
        <f t="shared" si="77"/>
        <v>1</v>
      </c>
      <c r="U131" s="362" t="b">
        <f t="shared" si="77"/>
        <v>1</v>
      </c>
      <c r="V131" s="362" t="b">
        <f t="shared" si="77"/>
        <v>1</v>
      </c>
      <c r="W131" s="356"/>
      <c r="X131" s="362" t="b">
        <f t="shared" ref="X131:AA131" si="78">X119&gt;=$H$123</f>
        <v>1</v>
      </c>
      <c r="Y131" s="362" t="b">
        <f t="shared" si="78"/>
        <v>1</v>
      </c>
      <c r="Z131" s="362" t="b">
        <f t="shared" si="78"/>
        <v>1</v>
      </c>
      <c r="AA131" s="362" t="b">
        <f t="shared" si="78"/>
        <v>1</v>
      </c>
      <c r="AB131" s="356"/>
      <c r="AC131" s="362" t="b">
        <f t="shared" ref="AC131:AG131" si="79">AC119&gt;=$H$123</f>
        <v>1</v>
      </c>
      <c r="AD131" s="362" t="b">
        <f t="shared" si="79"/>
        <v>1</v>
      </c>
      <c r="AE131" s="362" t="b">
        <f t="shared" si="79"/>
        <v>1</v>
      </c>
      <c r="AF131" s="362" t="b">
        <f t="shared" si="79"/>
        <v>1</v>
      </c>
      <c r="AG131" s="362" t="b">
        <f t="shared" si="79"/>
        <v>1</v>
      </c>
      <c r="AH131" s="356"/>
      <c r="AI131" s="356"/>
      <c r="AJ131" s="356"/>
      <c r="AK131" s="356"/>
      <c r="AL131" s="356"/>
      <c r="AM131" s="356"/>
      <c r="AN131" s="356"/>
      <c r="AO131" s="356"/>
    </row>
    <row r="132" spans="1:41" x14ac:dyDescent="0.35">
      <c r="A132" s="320"/>
      <c r="B132" s="320"/>
      <c r="C132" s="29"/>
      <c r="D132"/>
      <c r="E132"/>
      <c r="F132" s="311" t="s">
        <v>1004</v>
      </c>
      <c r="G132" s="311" t="s">
        <v>912</v>
      </c>
      <c r="H132" s="311"/>
      <c r="I132" s="311"/>
      <c r="J132" s="362" t="b">
        <f t="shared" si="59"/>
        <v>1</v>
      </c>
      <c r="K132" s="356"/>
      <c r="L132" s="356"/>
      <c r="M132" s="362" t="b">
        <f t="shared" ref="M132:P132" si="80">M120&gt;=$H$123</f>
        <v>1</v>
      </c>
      <c r="N132" s="362" t="b">
        <f t="shared" si="80"/>
        <v>1</v>
      </c>
      <c r="O132" s="362" t="b">
        <f t="shared" si="80"/>
        <v>1</v>
      </c>
      <c r="P132" s="362" t="b">
        <f t="shared" si="80"/>
        <v>1</v>
      </c>
      <c r="Q132" s="356"/>
      <c r="R132" s="356"/>
      <c r="S132" s="362" t="b">
        <f t="shared" ref="S132:V132" si="81">S120&gt;=$H$123</f>
        <v>1</v>
      </c>
      <c r="T132" s="362" t="b">
        <f t="shared" si="81"/>
        <v>1</v>
      </c>
      <c r="U132" s="362" t="b">
        <f t="shared" si="81"/>
        <v>1</v>
      </c>
      <c r="V132" s="362" t="b">
        <f t="shared" si="81"/>
        <v>1</v>
      </c>
      <c r="W132" s="356"/>
      <c r="X132" s="362" t="b">
        <f t="shared" ref="X132:AA132" si="82">X120&gt;=$H$123</f>
        <v>1</v>
      </c>
      <c r="Y132" s="362" t="b">
        <f t="shared" si="82"/>
        <v>1</v>
      </c>
      <c r="Z132" s="362" t="b">
        <f t="shared" si="82"/>
        <v>1</v>
      </c>
      <c r="AA132" s="362" t="b">
        <f t="shared" si="82"/>
        <v>1</v>
      </c>
      <c r="AB132" s="356"/>
      <c r="AC132" s="362" t="b">
        <f t="shared" ref="AC132:AG132" si="83">AC120&gt;=$H$123</f>
        <v>1</v>
      </c>
      <c r="AD132" s="362" t="b">
        <f t="shared" si="83"/>
        <v>1</v>
      </c>
      <c r="AE132" s="362" t="b">
        <f t="shared" si="83"/>
        <v>1</v>
      </c>
      <c r="AF132" s="362" t="b">
        <f t="shared" si="83"/>
        <v>1</v>
      </c>
      <c r="AG132" s="362" t="b">
        <f t="shared" si="83"/>
        <v>1</v>
      </c>
      <c r="AH132" s="356"/>
      <c r="AI132" s="356"/>
      <c r="AJ132" s="356"/>
      <c r="AK132" s="356"/>
      <c r="AL132" s="356"/>
      <c r="AM132" s="356"/>
      <c r="AN132" s="356"/>
      <c r="AO132" s="356"/>
    </row>
    <row r="133" spans="1:41" x14ac:dyDescent="0.35">
      <c r="A133" s="320"/>
      <c r="B133" s="320"/>
      <c r="C133" s="29"/>
      <c r="D133"/>
      <c r="E133"/>
      <c r="F133" s="37" t="s">
        <v>1005</v>
      </c>
      <c r="G133" s="37" t="s">
        <v>912</v>
      </c>
      <c r="H133" s="37"/>
      <c r="I133" s="37"/>
      <c r="J133" s="363" t="b">
        <f t="shared" si="59"/>
        <v>1</v>
      </c>
      <c r="K133" s="358"/>
      <c r="L133" s="358"/>
      <c r="M133" s="363" t="b">
        <f t="shared" ref="M133:P133" si="84">M121&gt;=$H$123</f>
        <v>1</v>
      </c>
      <c r="N133" s="363" t="b">
        <f t="shared" si="84"/>
        <v>1</v>
      </c>
      <c r="O133" s="363" t="b">
        <f t="shared" si="84"/>
        <v>1</v>
      </c>
      <c r="P133" s="363" t="b">
        <f t="shared" si="84"/>
        <v>1</v>
      </c>
      <c r="Q133" s="358"/>
      <c r="R133" s="358"/>
      <c r="S133" s="363" t="b">
        <f t="shared" ref="S133:V133" si="85">S121&gt;=$H$123</f>
        <v>1</v>
      </c>
      <c r="T133" s="363" t="b">
        <f t="shared" si="85"/>
        <v>1</v>
      </c>
      <c r="U133" s="363" t="b">
        <f t="shared" si="85"/>
        <v>1</v>
      </c>
      <c r="V133" s="363" t="b">
        <f t="shared" si="85"/>
        <v>1</v>
      </c>
      <c r="W133" s="358"/>
      <c r="X133" s="363" t="b">
        <f t="shared" ref="X133:AA133" si="86">X121&gt;=$H$123</f>
        <v>1</v>
      </c>
      <c r="Y133" s="363" t="b">
        <f t="shared" si="86"/>
        <v>1</v>
      </c>
      <c r="Z133" s="363" t="b">
        <f t="shared" si="86"/>
        <v>1</v>
      </c>
      <c r="AA133" s="363" t="b">
        <f t="shared" si="86"/>
        <v>1</v>
      </c>
      <c r="AB133" s="358"/>
      <c r="AC133" s="363" t="b">
        <f t="shared" ref="AC133:AG133" si="87">AC121&gt;=$H$123</f>
        <v>1</v>
      </c>
      <c r="AD133" s="363" t="b">
        <f t="shared" si="87"/>
        <v>1</v>
      </c>
      <c r="AE133" s="363" t="b">
        <f t="shared" si="87"/>
        <v>1</v>
      </c>
      <c r="AF133" s="363" t="b">
        <f t="shared" si="87"/>
        <v>1</v>
      </c>
      <c r="AG133" s="363" t="b">
        <f t="shared" si="87"/>
        <v>1</v>
      </c>
      <c r="AH133" s="358"/>
      <c r="AI133" s="358"/>
      <c r="AJ133" s="358"/>
      <c r="AK133" s="358"/>
      <c r="AL133" s="358"/>
      <c r="AM133" s="358"/>
      <c r="AN133" s="358"/>
      <c r="AO133" s="358"/>
    </row>
    <row r="134" spans="1:41" x14ac:dyDescent="0.35">
      <c r="A134" s="320"/>
      <c r="B134" s="320"/>
      <c r="C134" s="29"/>
      <c r="D134"/>
      <c r="E134"/>
      <c r="J134" s="163"/>
      <c r="K134" s="163"/>
      <c r="L134" s="163"/>
      <c r="M134" s="334"/>
      <c r="N134" s="334"/>
      <c r="O134" s="334"/>
      <c r="P134" s="334"/>
      <c r="Q134" s="163"/>
      <c r="R134" s="163"/>
      <c r="S134" s="334"/>
      <c r="T134" s="334"/>
      <c r="U134" s="334"/>
      <c r="V134" s="334"/>
      <c r="W134" s="163"/>
      <c r="X134" s="334"/>
      <c r="Y134" s="334"/>
      <c r="Z134" s="334"/>
      <c r="AA134" s="334"/>
      <c r="AB134" s="163"/>
      <c r="AC134" s="334"/>
      <c r="AD134" s="334"/>
      <c r="AE134" s="334"/>
      <c r="AF134" s="334"/>
      <c r="AG134" s="163"/>
      <c r="AH134" s="163"/>
      <c r="AI134" s="163"/>
      <c r="AJ134" s="163"/>
      <c r="AK134" s="163"/>
      <c r="AL134" s="163"/>
      <c r="AM134" s="163"/>
      <c r="AN134" s="163"/>
      <c r="AO134" s="163"/>
    </row>
    <row r="135" spans="1:41" x14ac:dyDescent="0.35">
      <c r="A135" s="320"/>
      <c r="B135" s="320"/>
      <c r="C135" s="29"/>
      <c r="D135"/>
      <c r="E135" s="32" t="s">
        <v>1122</v>
      </c>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row>
    <row r="136" spans="1:41" x14ac:dyDescent="0.35">
      <c r="A136" s="320"/>
      <c r="B136" s="320"/>
      <c r="C136" s="29"/>
      <c r="D136"/>
      <c r="E136"/>
      <c r="F136" s="23" t="s">
        <v>998</v>
      </c>
      <c r="G136" s="23" t="s">
        <v>149</v>
      </c>
      <c r="H136" s="23"/>
      <c r="I136" s="23"/>
      <c r="J136" s="361">
        <f t="shared" ref="J136:J143" si="88">COUNTIFS($J126:$AO126,TRUE,$J$35:$AO$35,J$35)</f>
        <v>1</v>
      </c>
      <c r="K136" s="360"/>
      <c r="L136" s="360"/>
      <c r="M136" s="361">
        <f t="shared" ref="M136:P143" si="89">COUNTIFS($J126:$AO126,TRUE,$J$35:$AO$35,M$35)</f>
        <v>4</v>
      </c>
      <c r="N136" s="361">
        <f t="shared" si="89"/>
        <v>4</v>
      </c>
      <c r="O136" s="361">
        <f t="shared" si="89"/>
        <v>4</v>
      </c>
      <c r="P136" s="361">
        <f t="shared" si="89"/>
        <v>4</v>
      </c>
      <c r="Q136" s="360"/>
      <c r="R136" s="360"/>
      <c r="S136" s="361">
        <f t="shared" ref="S136:V143" si="90">COUNTIFS($J126:$AO126,TRUE,$J$35:$AO$35,S$35)</f>
        <v>8</v>
      </c>
      <c r="T136" s="361">
        <f t="shared" si="90"/>
        <v>8</v>
      </c>
      <c r="U136" s="361">
        <f t="shared" si="90"/>
        <v>8</v>
      </c>
      <c r="V136" s="361">
        <f t="shared" si="90"/>
        <v>8</v>
      </c>
      <c r="W136" s="360"/>
      <c r="X136" s="361">
        <f t="shared" ref="X136:AA143" si="91">COUNTIFS($J126:$AO126,TRUE,$J$35:$AO$35,X$35)</f>
        <v>8</v>
      </c>
      <c r="Y136" s="361">
        <f t="shared" si="91"/>
        <v>8</v>
      </c>
      <c r="Z136" s="361">
        <f t="shared" si="91"/>
        <v>8</v>
      </c>
      <c r="AA136" s="361">
        <f t="shared" si="91"/>
        <v>8</v>
      </c>
      <c r="AB136" s="360"/>
      <c r="AC136" s="361">
        <f t="shared" ref="AC136:AG143" si="92">COUNTIFS($J126:$AO126,TRUE,$J$35:$AO$35,AC$35)</f>
        <v>4</v>
      </c>
      <c r="AD136" s="361">
        <f t="shared" si="92"/>
        <v>4</v>
      </c>
      <c r="AE136" s="361">
        <f t="shared" si="92"/>
        <v>4</v>
      </c>
      <c r="AF136" s="361">
        <f t="shared" si="92"/>
        <v>4</v>
      </c>
      <c r="AG136" s="361">
        <f t="shared" si="92"/>
        <v>1</v>
      </c>
      <c r="AH136" s="360"/>
      <c r="AI136" s="360"/>
      <c r="AJ136" s="360"/>
      <c r="AK136" s="360"/>
      <c r="AL136" s="360"/>
      <c r="AM136" s="360"/>
      <c r="AN136" s="360"/>
      <c r="AO136" s="360"/>
    </row>
    <row r="137" spans="1:41" x14ac:dyDescent="0.35">
      <c r="A137" s="320"/>
      <c r="B137" s="320"/>
      <c r="C137" s="29"/>
      <c r="D137"/>
      <c r="E137"/>
      <c r="F137" s="311" t="s">
        <v>999</v>
      </c>
      <c r="G137" s="311" t="s">
        <v>149</v>
      </c>
      <c r="H137" s="311"/>
      <c r="I137" s="311"/>
      <c r="J137" s="362">
        <f t="shared" si="88"/>
        <v>1</v>
      </c>
      <c r="K137" s="356"/>
      <c r="L137" s="356"/>
      <c r="M137" s="362">
        <f t="shared" si="89"/>
        <v>4</v>
      </c>
      <c r="N137" s="362">
        <f t="shared" si="89"/>
        <v>4</v>
      </c>
      <c r="O137" s="362">
        <f t="shared" si="89"/>
        <v>4</v>
      </c>
      <c r="P137" s="362">
        <f t="shared" si="89"/>
        <v>4</v>
      </c>
      <c r="Q137" s="356"/>
      <c r="R137" s="356"/>
      <c r="S137" s="362">
        <f t="shared" si="90"/>
        <v>8</v>
      </c>
      <c r="T137" s="362">
        <f t="shared" si="90"/>
        <v>8</v>
      </c>
      <c r="U137" s="362">
        <f t="shared" si="90"/>
        <v>8</v>
      </c>
      <c r="V137" s="362">
        <f t="shared" si="90"/>
        <v>8</v>
      </c>
      <c r="W137" s="356"/>
      <c r="X137" s="362">
        <f t="shared" si="91"/>
        <v>8</v>
      </c>
      <c r="Y137" s="362">
        <f t="shared" si="91"/>
        <v>8</v>
      </c>
      <c r="Z137" s="362">
        <f t="shared" si="91"/>
        <v>8</v>
      </c>
      <c r="AA137" s="362">
        <f t="shared" si="91"/>
        <v>8</v>
      </c>
      <c r="AB137" s="356"/>
      <c r="AC137" s="362">
        <f t="shared" si="92"/>
        <v>4</v>
      </c>
      <c r="AD137" s="362">
        <f t="shared" si="92"/>
        <v>4</v>
      </c>
      <c r="AE137" s="362">
        <f t="shared" si="92"/>
        <v>4</v>
      </c>
      <c r="AF137" s="362">
        <f t="shared" si="92"/>
        <v>4</v>
      </c>
      <c r="AG137" s="362">
        <f t="shared" si="92"/>
        <v>1</v>
      </c>
      <c r="AH137" s="356"/>
      <c r="AI137" s="356"/>
      <c r="AJ137" s="356"/>
      <c r="AK137" s="356"/>
      <c r="AL137" s="356"/>
      <c r="AM137" s="356"/>
      <c r="AN137" s="356"/>
      <c r="AO137" s="356"/>
    </row>
    <row r="138" spans="1:41" x14ac:dyDescent="0.35">
      <c r="A138" s="320"/>
      <c r="B138" s="320"/>
      <c r="C138" s="29"/>
      <c r="D138"/>
      <c r="E138"/>
      <c r="F138" s="311" t="s">
        <v>1000</v>
      </c>
      <c r="G138" s="311" t="s">
        <v>149</v>
      </c>
      <c r="H138" s="311"/>
      <c r="I138" s="311"/>
      <c r="J138" s="362">
        <f t="shared" si="88"/>
        <v>1</v>
      </c>
      <c r="K138" s="356"/>
      <c r="L138" s="356"/>
      <c r="M138" s="362">
        <f t="shared" si="89"/>
        <v>4</v>
      </c>
      <c r="N138" s="362">
        <f t="shared" si="89"/>
        <v>4</v>
      </c>
      <c r="O138" s="362">
        <f t="shared" si="89"/>
        <v>4</v>
      </c>
      <c r="P138" s="362">
        <f t="shared" si="89"/>
        <v>4</v>
      </c>
      <c r="Q138" s="356"/>
      <c r="R138" s="356"/>
      <c r="S138" s="362">
        <f t="shared" si="90"/>
        <v>8</v>
      </c>
      <c r="T138" s="362">
        <f t="shared" si="90"/>
        <v>8</v>
      </c>
      <c r="U138" s="362">
        <f t="shared" si="90"/>
        <v>8</v>
      </c>
      <c r="V138" s="362">
        <f t="shared" si="90"/>
        <v>8</v>
      </c>
      <c r="W138" s="356"/>
      <c r="X138" s="362">
        <f t="shared" si="91"/>
        <v>8</v>
      </c>
      <c r="Y138" s="362">
        <f t="shared" si="91"/>
        <v>8</v>
      </c>
      <c r="Z138" s="362">
        <f t="shared" si="91"/>
        <v>8</v>
      </c>
      <c r="AA138" s="362">
        <f t="shared" si="91"/>
        <v>8</v>
      </c>
      <c r="AB138" s="356"/>
      <c r="AC138" s="362">
        <f t="shared" si="92"/>
        <v>4</v>
      </c>
      <c r="AD138" s="362">
        <f t="shared" si="92"/>
        <v>4</v>
      </c>
      <c r="AE138" s="362">
        <f t="shared" si="92"/>
        <v>4</v>
      </c>
      <c r="AF138" s="362">
        <f t="shared" si="92"/>
        <v>4</v>
      </c>
      <c r="AG138" s="362">
        <f t="shared" si="92"/>
        <v>1</v>
      </c>
      <c r="AH138" s="356"/>
      <c r="AI138" s="356"/>
      <c r="AJ138" s="356"/>
      <c r="AK138" s="356"/>
      <c r="AL138" s="356"/>
      <c r="AM138" s="356"/>
      <c r="AN138" s="356"/>
      <c r="AO138" s="356"/>
    </row>
    <row r="139" spans="1:41" x14ac:dyDescent="0.35">
      <c r="A139" s="320"/>
      <c r="B139" s="320"/>
      <c r="C139" s="29"/>
      <c r="D139"/>
      <c r="E139"/>
      <c r="F139" s="311" t="s">
        <v>1001</v>
      </c>
      <c r="G139" s="311" t="s">
        <v>149</v>
      </c>
      <c r="H139" s="311"/>
      <c r="I139" s="311"/>
      <c r="J139" s="362">
        <f t="shared" si="88"/>
        <v>1</v>
      </c>
      <c r="K139" s="356"/>
      <c r="L139" s="356"/>
      <c r="M139" s="362">
        <f t="shared" si="89"/>
        <v>4</v>
      </c>
      <c r="N139" s="362">
        <f t="shared" si="89"/>
        <v>4</v>
      </c>
      <c r="O139" s="362">
        <f t="shared" si="89"/>
        <v>4</v>
      </c>
      <c r="P139" s="362">
        <f t="shared" si="89"/>
        <v>4</v>
      </c>
      <c r="Q139" s="356"/>
      <c r="R139" s="356"/>
      <c r="S139" s="362">
        <f t="shared" si="90"/>
        <v>8</v>
      </c>
      <c r="T139" s="362">
        <f t="shared" si="90"/>
        <v>8</v>
      </c>
      <c r="U139" s="362">
        <f t="shared" si="90"/>
        <v>8</v>
      </c>
      <c r="V139" s="362">
        <f t="shared" si="90"/>
        <v>8</v>
      </c>
      <c r="W139" s="356"/>
      <c r="X139" s="362">
        <f t="shared" si="91"/>
        <v>8</v>
      </c>
      <c r="Y139" s="362">
        <f t="shared" si="91"/>
        <v>8</v>
      </c>
      <c r="Z139" s="362">
        <f t="shared" si="91"/>
        <v>8</v>
      </c>
      <c r="AA139" s="362">
        <f t="shared" si="91"/>
        <v>8</v>
      </c>
      <c r="AB139" s="356"/>
      <c r="AC139" s="362">
        <f t="shared" si="92"/>
        <v>4</v>
      </c>
      <c r="AD139" s="362">
        <f t="shared" si="92"/>
        <v>4</v>
      </c>
      <c r="AE139" s="362">
        <f t="shared" si="92"/>
        <v>4</v>
      </c>
      <c r="AF139" s="362">
        <f t="shared" si="92"/>
        <v>4</v>
      </c>
      <c r="AG139" s="362">
        <f t="shared" si="92"/>
        <v>1</v>
      </c>
      <c r="AH139" s="356"/>
      <c r="AI139" s="356"/>
      <c r="AJ139" s="356"/>
      <c r="AK139" s="356"/>
      <c r="AL139" s="356"/>
      <c r="AM139" s="356"/>
      <c r="AN139" s="356"/>
      <c r="AO139" s="356"/>
    </row>
    <row r="140" spans="1:41" x14ac:dyDescent="0.35">
      <c r="A140" s="320"/>
      <c r="B140" s="320"/>
      <c r="C140" s="29"/>
      <c r="D140"/>
      <c r="E140"/>
      <c r="F140" s="311" t="s">
        <v>1002</v>
      </c>
      <c r="G140" s="311" t="s">
        <v>149</v>
      </c>
      <c r="H140" s="311"/>
      <c r="I140" s="311"/>
      <c r="J140" s="362">
        <f t="shared" si="88"/>
        <v>1</v>
      </c>
      <c r="K140" s="356"/>
      <c r="L140" s="356"/>
      <c r="M140" s="362">
        <f t="shared" si="89"/>
        <v>4</v>
      </c>
      <c r="N140" s="362">
        <f t="shared" si="89"/>
        <v>4</v>
      </c>
      <c r="O140" s="362">
        <f t="shared" si="89"/>
        <v>4</v>
      </c>
      <c r="P140" s="362">
        <f t="shared" si="89"/>
        <v>4</v>
      </c>
      <c r="Q140" s="356"/>
      <c r="R140" s="356"/>
      <c r="S140" s="362">
        <f t="shared" si="90"/>
        <v>8</v>
      </c>
      <c r="T140" s="362">
        <f t="shared" si="90"/>
        <v>8</v>
      </c>
      <c r="U140" s="362">
        <f t="shared" si="90"/>
        <v>8</v>
      </c>
      <c r="V140" s="362">
        <f t="shared" si="90"/>
        <v>8</v>
      </c>
      <c r="W140" s="356"/>
      <c r="X140" s="362">
        <f t="shared" si="91"/>
        <v>8</v>
      </c>
      <c r="Y140" s="362">
        <f t="shared" si="91"/>
        <v>8</v>
      </c>
      <c r="Z140" s="362">
        <f t="shared" si="91"/>
        <v>8</v>
      </c>
      <c r="AA140" s="362">
        <f t="shared" si="91"/>
        <v>8</v>
      </c>
      <c r="AB140" s="356"/>
      <c r="AC140" s="362">
        <f t="shared" si="92"/>
        <v>4</v>
      </c>
      <c r="AD140" s="362">
        <f t="shared" si="92"/>
        <v>4</v>
      </c>
      <c r="AE140" s="362">
        <f t="shared" si="92"/>
        <v>4</v>
      </c>
      <c r="AF140" s="362">
        <f t="shared" si="92"/>
        <v>4</v>
      </c>
      <c r="AG140" s="362">
        <f t="shared" si="92"/>
        <v>1</v>
      </c>
      <c r="AH140" s="356"/>
      <c r="AI140" s="356"/>
      <c r="AJ140" s="356"/>
      <c r="AK140" s="356"/>
      <c r="AL140" s="356"/>
      <c r="AM140" s="356"/>
      <c r="AN140" s="356"/>
      <c r="AO140" s="356"/>
    </row>
    <row r="141" spans="1:41" x14ac:dyDescent="0.35">
      <c r="A141" s="320"/>
      <c r="B141" s="320"/>
      <c r="C141" s="29"/>
      <c r="D141"/>
      <c r="E141"/>
      <c r="F141" s="311" t="s">
        <v>1003</v>
      </c>
      <c r="G141" s="311" t="s">
        <v>149</v>
      </c>
      <c r="H141" s="311"/>
      <c r="I141" s="311"/>
      <c r="J141" s="362">
        <f t="shared" si="88"/>
        <v>1</v>
      </c>
      <c r="K141" s="356"/>
      <c r="L141" s="356"/>
      <c r="M141" s="362">
        <f t="shared" si="89"/>
        <v>4</v>
      </c>
      <c r="N141" s="362">
        <f t="shared" si="89"/>
        <v>4</v>
      </c>
      <c r="O141" s="362">
        <f t="shared" si="89"/>
        <v>4</v>
      </c>
      <c r="P141" s="362">
        <f t="shared" si="89"/>
        <v>4</v>
      </c>
      <c r="Q141" s="356"/>
      <c r="R141" s="356"/>
      <c r="S141" s="362">
        <f t="shared" si="90"/>
        <v>8</v>
      </c>
      <c r="T141" s="362">
        <f t="shared" si="90"/>
        <v>8</v>
      </c>
      <c r="U141" s="362">
        <f t="shared" si="90"/>
        <v>8</v>
      </c>
      <c r="V141" s="362">
        <f t="shared" si="90"/>
        <v>8</v>
      </c>
      <c r="W141" s="356"/>
      <c r="X141" s="362">
        <f t="shared" si="91"/>
        <v>8</v>
      </c>
      <c r="Y141" s="362">
        <f t="shared" si="91"/>
        <v>8</v>
      </c>
      <c r="Z141" s="362">
        <f t="shared" si="91"/>
        <v>8</v>
      </c>
      <c r="AA141" s="362">
        <f t="shared" si="91"/>
        <v>8</v>
      </c>
      <c r="AB141" s="356"/>
      <c r="AC141" s="362">
        <f t="shared" si="92"/>
        <v>4</v>
      </c>
      <c r="AD141" s="362">
        <f t="shared" si="92"/>
        <v>4</v>
      </c>
      <c r="AE141" s="362">
        <f t="shared" si="92"/>
        <v>4</v>
      </c>
      <c r="AF141" s="362">
        <f t="shared" si="92"/>
        <v>4</v>
      </c>
      <c r="AG141" s="362">
        <f t="shared" si="92"/>
        <v>1</v>
      </c>
      <c r="AH141" s="356"/>
      <c r="AI141" s="356"/>
      <c r="AJ141" s="356"/>
      <c r="AK141" s="356"/>
      <c r="AL141" s="356"/>
      <c r="AM141" s="356"/>
      <c r="AN141" s="356"/>
      <c r="AO141" s="356"/>
    </row>
    <row r="142" spans="1:41" x14ac:dyDescent="0.35">
      <c r="A142" s="320"/>
      <c r="B142" s="320"/>
      <c r="C142" s="29"/>
      <c r="D142"/>
      <c r="E142"/>
      <c r="F142" s="311" t="s">
        <v>1004</v>
      </c>
      <c r="G142" s="311" t="s">
        <v>149</v>
      </c>
      <c r="H142" s="311"/>
      <c r="I142" s="311"/>
      <c r="J142" s="362">
        <f t="shared" si="88"/>
        <v>1</v>
      </c>
      <c r="K142" s="356"/>
      <c r="L142" s="356"/>
      <c r="M142" s="362">
        <f t="shared" si="89"/>
        <v>4</v>
      </c>
      <c r="N142" s="362">
        <f t="shared" si="89"/>
        <v>4</v>
      </c>
      <c r="O142" s="362">
        <f t="shared" si="89"/>
        <v>4</v>
      </c>
      <c r="P142" s="362">
        <f t="shared" si="89"/>
        <v>4</v>
      </c>
      <c r="Q142" s="356"/>
      <c r="R142" s="356"/>
      <c r="S142" s="362">
        <f t="shared" si="90"/>
        <v>8</v>
      </c>
      <c r="T142" s="362">
        <f t="shared" si="90"/>
        <v>8</v>
      </c>
      <c r="U142" s="362">
        <f t="shared" si="90"/>
        <v>8</v>
      </c>
      <c r="V142" s="362">
        <f t="shared" si="90"/>
        <v>8</v>
      </c>
      <c r="W142" s="356"/>
      <c r="X142" s="362">
        <f t="shared" si="91"/>
        <v>8</v>
      </c>
      <c r="Y142" s="362">
        <f t="shared" si="91"/>
        <v>8</v>
      </c>
      <c r="Z142" s="362">
        <f t="shared" si="91"/>
        <v>8</v>
      </c>
      <c r="AA142" s="362">
        <f t="shared" si="91"/>
        <v>8</v>
      </c>
      <c r="AB142" s="356"/>
      <c r="AC142" s="362">
        <f t="shared" si="92"/>
        <v>4</v>
      </c>
      <c r="AD142" s="362">
        <f t="shared" si="92"/>
        <v>4</v>
      </c>
      <c r="AE142" s="362">
        <f t="shared" si="92"/>
        <v>4</v>
      </c>
      <c r="AF142" s="362">
        <f t="shared" si="92"/>
        <v>4</v>
      </c>
      <c r="AG142" s="362">
        <f t="shared" si="92"/>
        <v>1</v>
      </c>
      <c r="AH142" s="356"/>
      <c r="AI142" s="356"/>
      <c r="AJ142" s="356"/>
      <c r="AK142" s="356"/>
      <c r="AL142" s="356"/>
      <c r="AM142" s="356"/>
      <c r="AN142" s="356"/>
      <c r="AO142" s="356"/>
    </row>
    <row r="143" spans="1:41" x14ac:dyDescent="0.35">
      <c r="A143" s="320"/>
      <c r="B143" s="320"/>
      <c r="C143" s="29"/>
      <c r="D143"/>
      <c r="E143"/>
      <c r="F143" s="37" t="s">
        <v>1005</v>
      </c>
      <c r="G143" s="37" t="s">
        <v>149</v>
      </c>
      <c r="H143" s="37"/>
      <c r="I143" s="37"/>
      <c r="J143" s="363">
        <f t="shared" si="88"/>
        <v>1</v>
      </c>
      <c r="K143" s="358"/>
      <c r="L143" s="358"/>
      <c r="M143" s="363">
        <f t="shared" si="89"/>
        <v>4</v>
      </c>
      <c r="N143" s="363">
        <f t="shared" si="89"/>
        <v>4</v>
      </c>
      <c r="O143" s="363">
        <f t="shared" si="89"/>
        <v>4</v>
      </c>
      <c r="P143" s="363">
        <f t="shared" si="89"/>
        <v>4</v>
      </c>
      <c r="Q143" s="358"/>
      <c r="R143" s="358"/>
      <c r="S143" s="363">
        <f t="shared" si="90"/>
        <v>8</v>
      </c>
      <c r="T143" s="363">
        <f t="shared" si="90"/>
        <v>8</v>
      </c>
      <c r="U143" s="363">
        <f t="shared" si="90"/>
        <v>8</v>
      </c>
      <c r="V143" s="363">
        <f t="shared" si="90"/>
        <v>8</v>
      </c>
      <c r="W143" s="358"/>
      <c r="X143" s="363">
        <f t="shared" si="91"/>
        <v>8</v>
      </c>
      <c r="Y143" s="363">
        <f t="shared" si="91"/>
        <v>8</v>
      </c>
      <c r="Z143" s="363">
        <f t="shared" si="91"/>
        <v>8</v>
      </c>
      <c r="AA143" s="363">
        <f t="shared" si="91"/>
        <v>8</v>
      </c>
      <c r="AB143" s="358"/>
      <c r="AC143" s="363">
        <f t="shared" si="92"/>
        <v>4</v>
      </c>
      <c r="AD143" s="363">
        <f t="shared" si="92"/>
        <v>4</v>
      </c>
      <c r="AE143" s="363">
        <f t="shared" si="92"/>
        <v>4</v>
      </c>
      <c r="AF143" s="363">
        <f t="shared" si="92"/>
        <v>4</v>
      </c>
      <c r="AG143" s="363">
        <f t="shared" si="92"/>
        <v>1</v>
      </c>
      <c r="AH143" s="358"/>
      <c r="AI143" s="358"/>
      <c r="AJ143" s="358"/>
      <c r="AK143" s="358"/>
      <c r="AL143" s="358"/>
      <c r="AM143" s="358"/>
      <c r="AN143" s="358"/>
      <c r="AO143" s="358"/>
    </row>
    <row r="144" spans="1:41" x14ac:dyDescent="0.35">
      <c r="A144" s="320"/>
      <c r="B144" s="320"/>
      <c r="C144" s="29"/>
      <c r="D144"/>
      <c r="E144"/>
      <c r="J144" s="163"/>
      <c r="K144" s="163"/>
      <c r="L144" s="163"/>
      <c r="M144" s="334"/>
      <c r="N144" s="163"/>
      <c r="O144" s="163"/>
      <c r="P144" s="163"/>
      <c r="Q144" s="163"/>
      <c r="R144" s="163"/>
      <c r="S144" s="334"/>
      <c r="T144" s="163"/>
      <c r="U144" s="163"/>
      <c r="V144" s="163"/>
      <c r="W144" s="163"/>
      <c r="X144" s="334"/>
      <c r="Y144" s="163"/>
      <c r="Z144" s="163"/>
      <c r="AA144" s="163"/>
      <c r="AB144" s="163"/>
      <c r="AC144" s="334"/>
      <c r="AD144" s="163"/>
      <c r="AE144" s="163"/>
      <c r="AF144" s="163"/>
      <c r="AG144" s="163"/>
      <c r="AH144" s="163"/>
      <c r="AI144" s="163"/>
      <c r="AJ144" s="163"/>
      <c r="AK144" s="163"/>
      <c r="AL144" s="163"/>
      <c r="AM144" s="163"/>
      <c r="AN144" s="163"/>
      <c r="AO144" s="163"/>
    </row>
    <row r="145" spans="1:41" x14ac:dyDescent="0.35">
      <c r="A145" s="320"/>
      <c r="B145" s="320"/>
      <c r="C145" s="29"/>
      <c r="D145"/>
      <c r="E145" t="s">
        <v>1015</v>
      </c>
      <c r="J145" s="362">
        <f>MAX(J136:J143)</f>
        <v>1</v>
      </c>
      <c r="K145" s="356"/>
      <c r="L145" s="356"/>
      <c r="M145" s="362">
        <f t="shared" ref="M145:P145" si="93">MAX(M136:M143)</f>
        <v>4</v>
      </c>
      <c r="N145" s="362">
        <f t="shared" si="93"/>
        <v>4</v>
      </c>
      <c r="O145" s="362">
        <f t="shared" si="93"/>
        <v>4</v>
      </c>
      <c r="P145" s="362">
        <f t="shared" si="93"/>
        <v>4</v>
      </c>
      <c r="Q145" s="356"/>
      <c r="R145" s="356"/>
      <c r="S145" s="362">
        <f t="shared" ref="S145:V145" si="94">MAX(S136:S143)</f>
        <v>8</v>
      </c>
      <c r="T145" s="362">
        <f t="shared" si="94"/>
        <v>8</v>
      </c>
      <c r="U145" s="362">
        <f t="shared" si="94"/>
        <v>8</v>
      </c>
      <c r="V145" s="362">
        <f t="shared" si="94"/>
        <v>8</v>
      </c>
      <c r="W145" s="356"/>
      <c r="X145" s="362">
        <f t="shared" ref="X145:AA145" si="95">MAX(X136:X143)</f>
        <v>8</v>
      </c>
      <c r="Y145" s="362">
        <f t="shared" si="95"/>
        <v>8</v>
      </c>
      <c r="Z145" s="362">
        <f t="shared" si="95"/>
        <v>8</v>
      </c>
      <c r="AA145" s="362">
        <f t="shared" si="95"/>
        <v>8</v>
      </c>
      <c r="AB145" s="356"/>
      <c r="AC145" s="362">
        <f t="shared" ref="AC145:AG145" si="96">MAX(AC136:AC143)</f>
        <v>4</v>
      </c>
      <c r="AD145" s="362">
        <f t="shared" si="96"/>
        <v>4</v>
      </c>
      <c r="AE145" s="362">
        <f t="shared" si="96"/>
        <v>4</v>
      </c>
      <c r="AF145" s="362">
        <f t="shared" si="96"/>
        <v>4</v>
      </c>
      <c r="AG145" s="362">
        <f t="shared" si="96"/>
        <v>1</v>
      </c>
      <c r="AH145" s="356"/>
      <c r="AI145" s="356"/>
      <c r="AJ145" s="356"/>
      <c r="AK145" s="356"/>
      <c r="AL145" s="356"/>
      <c r="AM145" s="356"/>
      <c r="AN145" s="356"/>
      <c r="AO145" s="356"/>
    </row>
    <row r="146" spans="1:41" x14ac:dyDescent="0.35">
      <c r="A146" s="320"/>
      <c r="B146" s="320"/>
      <c r="C146" s="29"/>
      <c r="D146"/>
      <c r="E146"/>
      <c r="J146" s="163"/>
      <c r="K146" s="163"/>
      <c r="L146" s="163"/>
      <c r="M146" s="334"/>
      <c r="N146" s="163"/>
      <c r="O146" s="163"/>
      <c r="P146" s="163"/>
      <c r="Q146" s="163"/>
      <c r="R146" s="163"/>
      <c r="S146" s="334"/>
      <c r="T146" s="163"/>
      <c r="U146" s="163"/>
      <c r="V146" s="163"/>
      <c r="W146" s="163"/>
      <c r="X146" s="334"/>
      <c r="Y146" s="163"/>
      <c r="Z146" s="163"/>
      <c r="AA146" s="163"/>
      <c r="AB146" s="163"/>
      <c r="AC146" s="334"/>
      <c r="AD146" s="163"/>
      <c r="AE146" s="163"/>
      <c r="AF146" s="163"/>
      <c r="AG146" s="163"/>
      <c r="AH146" s="163"/>
      <c r="AI146" s="163"/>
      <c r="AJ146" s="163"/>
      <c r="AK146" s="163"/>
      <c r="AL146" s="163"/>
      <c r="AM146" s="163"/>
      <c r="AN146" s="163"/>
      <c r="AO146" s="163"/>
    </row>
    <row r="147" spans="1:41" x14ac:dyDescent="0.35">
      <c r="A147" s="320"/>
      <c r="B147" s="320"/>
      <c r="C147" s="29"/>
      <c r="D147"/>
      <c r="E147" t="s">
        <v>1014</v>
      </c>
      <c r="G147" t="s">
        <v>149</v>
      </c>
      <c r="J147" s="334">
        <f t="array" ref="J147">MATCH(TRUE, J136:J143=J145, 0)</f>
        <v>1</v>
      </c>
      <c r="K147" s="334">
        <f t="array" ref="K147">MATCH(TRUE, K136:K143=K145, 0)</f>
        <v>1</v>
      </c>
      <c r="L147" s="334">
        <f t="array" ref="L147">MATCH(TRUE, L136:L143=L145, 0)</f>
        <v>1</v>
      </c>
      <c r="M147" s="334">
        <f t="array" ref="M147">MATCH(TRUE, M136:M143=M145, 0)</f>
        <v>1</v>
      </c>
      <c r="N147" s="334">
        <f t="array" ref="N147">MATCH(TRUE, N136:N143=N145, 0)</f>
        <v>1</v>
      </c>
      <c r="O147" s="334">
        <f t="array" ref="O147">MATCH(TRUE, O136:O143=O145, 0)</f>
        <v>1</v>
      </c>
      <c r="P147" s="334">
        <f t="array" ref="P147">MATCH(TRUE, P136:P143=P145, 0)</f>
        <v>1</v>
      </c>
      <c r="Q147" s="334">
        <f t="array" ref="Q147">MATCH(TRUE, Q136:Q143=Q145, 0)</f>
        <v>1</v>
      </c>
      <c r="R147" s="334">
        <f t="array" ref="R147">MATCH(TRUE, R136:R143=R145, 0)</f>
        <v>1</v>
      </c>
      <c r="S147" s="334">
        <f t="array" ref="S147">MATCH(TRUE, S136:S143=S145, 0)</f>
        <v>1</v>
      </c>
      <c r="T147" s="334">
        <f t="array" ref="T147">MATCH(TRUE, T136:T143=T145, 0)</f>
        <v>1</v>
      </c>
      <c r="U147" s="334">
        <f t="array" ref="U147">MATCH(TRUE, U136:U143=U145, 0)</f>
        <v>1</v>
      </c>
      <c r="V147" s="334">
        <f t="array" ref="V147">MATCH(TRUE, V136:V143=V145, 0)</f>
        <v>1</v>
      </c>
      <c r="W147" s="334">
        <f t="array" ref="W147">MATCH(TRUE, W136:W143=W145, 0)</f>
        <v>1</v>
      </c>
      <c r="X147" s="334">
        <f t="array" ref="X147">MATCH(TRUE, X136:X143=X145, 0)</f>
        <v>1</v>
      </c>
      <c r="Y147" s="334">
        <f t="array" ref="Y147">MATCH(TRUE, Y136:Y143=Y145, 0)</f>
        <v>1</v>
      </c>
      <c r="Z147" s="334">
        <f t="array" ref="Z147">MATCH(TRUE, Z136:Z143=Z145, 0)</f>
        <v>1</v>
      </c>
      <c r="AA147" s="334">
        <f t="array" ref="AA147">MATCH(TRUE, AA136:AA143=AA145, 0)</f>
        <v>1</v>
      </c>
      <c r="AB147" s="334">
        <f t="array" ref="AB147">MATCH(TRUE, AB136:AB143=AB145, 0)</f>
        <v>1</v>
      </c>
      <c r="AC147" s="334">
        <f t="array" ref="AC147">MATCH(TRUE, AC136:AC143=AC145, 0)</f>
        <v>1</v>
      </c>
      <c r="AD147" s="334">
        <f t="array" ref="AD147">MATCH(TRUE, AD136:AD143=AD145, 0)</f>
        <v>1</v>
      </c>
      <c r="AE147" s="334">
        <f t="array" ref="AE147">MATCH(TRUE, AE136:AE143=AE145, 0)</f>
        <v>1</v>
      </c>
      <c r="AF147" s="334">
        <f t="array" ref="AF147">MATCH(TRUE, AF136:AF143=AF145, 0)</f>
        <v>1</v>
      </c>
      <c r="AG147" s="334">
        <f t="array" ref="AG147">MATCH(TRUE, AG136:AG143=AG145, 0)</f>
        <v>1</v>
      </c>
      <c r="AH147" s="334">
        <f t="array" ref="AH147">MATCH(TRUE, AH136:AH143=AH145, 0)</f>
        <v>1</v>
      </c>
      <c r="AI147" s="334">
        <f t="array" ref="AI147">MATCH(TRUE, AI136:AI143=AI145, 0)</f>
        <v>1</v>
      </c>
      <c r="AJ147" s="334">
        <f t="array" ref="AJ147">MATCH(TRUE, AJ136:AJ143=AJ145, 0)</f>
        <v>1</v>
      </c>
      <c r="AK147" s="334">
        <f t="array" ref="AK147">MATCH(TRUE, AK136:AK143=AK145, 0)</f>
        <v>1</v>
      </c>
      <c r="AL147" s="334">
        <f t="array" ref="AL147">MATCH(TRUE, AL136:AL143=AL145, 0)</f>
        <v>1</v>
      </c>
      <c r="AM147" s="334">
        <f t="array" ref="AM147">MATCH(TRUE, AM136:AM143=AM145, 0)</f>
        <v>1</v>
      </c>
      <c r="AN147" s="334">
        <f t="array" ref="AN147">MATCH(TRUE, AN136:AN143=AN145, 0)</f>
        <v>1</v>
      </c>
      <c r="AO147" s="334">
        <f t="array" ref="AO147">MATCH(TRUE, AO136:AO143=AO145, 0)</f>
        <v>1</v>
      </c>
    </row>
    <row r="148" spans="1:41" x14ac:dyDescent="0.35">
      <c r="A148" s="320"/>
      <c r="B148" s="320"/>
      <c r="C148" s="29"/>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row>
    <row r="149" spans="1:41" x14ac:dyDescent="0.35">
      <c r="C149" s="29"/>
      <c r="E149" s="336" t="s">
        <v>1023</v>
      </c>
      <c r="G149" t="s">
        <v>149</v>
      </c>
      <c r="J149" s="384">
        <f>INDEX(J104:J111,J$147)</f>
        <v>1</v>
      </c>
      <c r="K149" s="384">
        <f t="shared" ref="K149:AO149" si="97">INDEX(K104:K111,K$147)</f>
        <v>0</v>
      </c>
      <c r="L149" s="384">
        <f t="shared" si="97"/>
        <v>0</v>
      </c>
      <c r="M149" s="384">
        <f t="shared" si="97"/>
        <v>5</v>
      </c>
      <c r="N149" s="384">
        <f t="shared" si="97"/>
        <v>6</v>
      </c>
      <c r="O149" s="384">
        <f t="shared" si="97"/>
        <v>7</v>
      </c>
      <c r="P149" s="384">
        <f t="shared" si="97"/>
        <v>8</v>
      </c>
      <c r="Q149" s="384">
        <f t="shared" si="97"/>
        <v>0</v>
      </c>
      <c r="R149" s="384">
        <f t="shared" si="97"/>
        <v>0</v>
      </c>
      <c r="S149" s="384">
        <f t="shared" si="97"/>
        <v>9</v>
      </c>
      <c r="T149" s="384">
        <f t="shared" si="97"/>
        <v>10</v>
      </c>
      <c r="U149" s="384">
        <f t="shared" si="97"/>
        <v>11</v>
      </c>
      <c r="V149" s="384">
        <f t="shared" si="97"/>
        <v>12</v>
      </c>
      <c r="W149" s="384">
        <f t="shared" si="97"/>
        <v>0</v>
      </c>
      <c r="X149" s="384">
        <f t="shared" si="97"/>
        <v>9</v>
      </c>
      <c r="Y149" s="384">
        <f t="shared" si="97"/>
        <v>10</v>
      </c>
      <c r="Z149" s="384">
        <f t="shared" si="97"/>
        <v>11</v>
      </c>
      <c r="AA149" s="384">
        <f t="shared" si="97"/>
        <v>12</v>
      </c>
      <c r="AB149" s="384">
        <f t="shared" si="97"/>
        <v>0</v>
      </c>
      <c r="AC149" s="384">
        <f t="shared" si="97"/>
        <v>13</v>
      </c>
      <c r="AD149" s="384">
        <f t="shared" si="97"/>
        <v>14</v>
      </c>
      <c r="AE149" s="384">
        <f t="shared" si="97"/>
        <v>15</v>
      </c>
      <c r="AF149" s="384">
        <f t="shared" si="97"/>
        <v>16</v>
      </c>
      <c r="AG149" s="384">
        <f t="shared" si="97"/>
        <v>17</v>
      </c>
      <c r="AH149" s="384">
        <f t="shared" si="97"/>
        <v>0</v>
      </c>
      <c r="AI149" s="384">
        <f t="shared" si="97"/>
        <v>0</v>
      </c>
      <c r="AJ149" s="384">
        <f t="shared" si="97"/>
        <v>0</v>
      </c>
      <c r="AK149" s="384">
        <f t="shared" si="97"/>
        <v>0</v>
      </c>
      <c r="AL149" s="384">
        <f t="shared" si="97"/>
        <v>0</v>
      </c>
      <c r="AM149" s="384">
        <f t="shared" si="97"/>
        <v>0</v>
      </c>
      <c r="AN149" s="384">
        <f t="shared" si="97"/>
        <v>0</v>
      </c>
      <c r="AO149" s="384">
        <f t="shared" si="97"/>
        <v>0</v>
      </c>
    </row>
    <row r="150" spans="1:41" x14ac:dyDescent="0.35">
      <c r="C150" s="29"/>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row>
    <row r="151" spans="1:41" x14ac:dyDescent="0.35">
      <c r="C151" s="31" t="str">
        <f ca="1">INDEX('Version control'!$H$34:$H$57,MATCH($A$1,'Version control'!$F$34:$F$57,0),1)&amp;"-D: Calculating MPANs for matching"</f>
        <v>Section 116-D: Calculating MPANs for matching</v>
      </c>
      <c r="D151" s="31"/>
      <c r="E151" s="31"/>
      <c r="F151" s="31"/>
      <c r="G151" s="31"/>
      <c r="H151" s="31"/>
      <c r="I151" s="31"/>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row>
    <row r="152" spans="1:41" x14ac:dyDescent="0.35">
      <c r="C152" s="29"/>
      <c r="D152"/>
      <c r="E15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1:41" x14ac:dyDescent="0.35">
      <c r="C153" s="29"/>
      <c r="D153"/>
      <c r="E153" t="s">
        <v>1032</v>
      </c>
      <c r="G153" t="s">
        <v>212</v>
      </c>
      <c r="J153" s="163">
        <f t="shared" ref="J153:AO153" si="98">IF(J32, J56, 0)</f>
        <v>712324.84882153419</v>
      </c>
      <c r="K153" s="163">
        <f t="shared" si="98"/>
        <v>0</v>
      </c>
      <c r="L153" s="163">
        <f t="shared" si="98"/>
        <v>0</v>
      </c>
      <c r="M153" s="163">
        <f t="shared" si="98"/>
        <v>28329.108328901191</v>
      </c>
      <c r="N153" s="163">
        <f t="shared" si="98"/>
        <v>22980.280138707854</v>
      </c>
      <c r="O153" s="163">
        <f t="shared" si="98"/>
        <v>12975.537490776003</v>
      </c>
      <c r="P153" s="163">
        <f t="shared" si="98"/>
        <v>10495.022784677198</v>
      </c>
      <c r="Q153" s="163">
        <f t="shared" si="98"/>
        <v>0</v>
      </c>
      <c r="R153" s="163">
        <f t="shared" si="98"/>
        <v>0</v>
      </c>
      <c r="S153" s="163">
        <f t="shared" si="98"/>
        <v>3245.1797450643903</v>
      </c>
      <c r="T153" s="163">
        <f t="shared" si="98"/>
        <v>1746.676460321436</v>
      </c>
      <c r="U153" s="163">
        <f t="shared" si="98"/>
        <v>803.40807687271354</v>
      </c>
      <c r="V153" s="163">
        <f t="shared" si="98"/>
        <v>986.38321479922172</v>
      </c>
      <c r="W153" s="163">
        <f t="shared" si="98"/>
        <v>0</v>
      </c>
      <c r="X153" s="163">
        <f t="shared" si="98"/>
        <v>9.9463413549057211</v>
      </c>
      <c r="Y153" s="163">
        <f t="shared" si="98"/>
        <v>13.261788473207631</v>
      </c>
      <c r="Z153" s="163">
        <f t="shared" si="98"/>
        <v>26.523576946415261</v>
      </c>
      <c r="AA153" s="163">
        <f t="shared" si="98"/>
        <v>71.834687563207993</v>
      </c>
      <c r="AB153" s="163">
        <f t="shared" si="98"/>
        <v>0</v>
      </c>
      <c r="AC153" s="163">
        <f t="shared" si="98"/>
        <v>429.93232794509885</v>
      </c>
      <c r="AD153" s="163">
        <f t="shared" si="98"/>
        <v>153.6209037501672</v>
      </c>
      <c r="AE153" s="163">
        <f t="shared" si="98"/>
        <v>59.798741057112068</v>
      </c>
      <c r="AF153" s="163">
        <f t="shared" si="98"/>
        <v>54.643677172878263</v>
      </c>
      <c r="AG153" s="163">
        <f t="shared" si="98"/>
        <v>1889.7423367815629</v>
      </c>
      <c r="AH153" s="163">
        <f t="shared" si="98"/>
        <v>0</v>
      </c>
      <c r="AI153" s="163">
        <f t="shared" si="98"/>
        <v>0</v>
      </c>
      <c r="AJ153" s="163">
        <f t="shared" si="98"/>
        <v>0</v>
      </c>
      <c r="AK153" s="163">
        <f t="shared" si="98"/>
        <v>0</v>
      </c>
      <c r="AL153" s="163">
        <f t="shared" si="98"/>
        <v>0</v>
      </c>
      <c r="AM153" s="163">
        <f t="shared" si="98"/>
        <v>0</v>
      </c>
      <c r="AN153" s="163">
        <f t="shared" si="98"/>
        <v>0</v>
      </c>
      <c r="AO153" s="163">
        <f t="shared" si="98"/>
        <v>0</v>
      </c>
    </row>
    <row r="154" spans="1:41" x14ac:dyDescent="0.35">
      <c r="C154" s="29"/>
      <c r="D154"/>
      <c r="E15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row>
    <row r="155" spans="1:41" x14ac:dyDescent="0.35">
      <c r="C155" s="29"/>
      <c r="D155"/>
      <c r="E155" t="s">
        <v>1029</v>
      </c>
      <c r="G155" t="s">
        <v>212</v>
      </c>
      <c r="J155" s="163">
        <f t="shared" ref="J155:AO155" si="99">SUMIF($J$149:$AO$149,J149,$J$153:$AO$153)</f>
        <v>712324.84882153419</v>
      </c>
      <c r="K155" s="163">
        <f t="shared" si="99"/>
        <v>0</v>
      </c>
      <c r="L155" s="163">
        <f t="shared" si="99"/>
        <v>0</v>
      </c>
      <c r="M155" s="163">
        <f t="shared" si="99"/>
        <v>28329.108328901191</v>
      </c>
      <c r="N155" s="163">
        <f t="shared" si="99"/>
        <v>22980.280138707854</v>
      </c>
      <c r="O155" s="163">
        <f t="shared" si="99"/>
        <v>12975.537490776003</v>
      </c>
      <c r="P155" s="163">
        <f t="shared" si="99"/>
        <v>10495.022784677198</v>
      </c>
      <c r="Q155" s="163">
        <f t="shared" si="99"/>
        <v>0</v>
      </c>
      <c r="R155" s="163">
        <f t="shared" si="99"/>
        <v>0</v>
      </c>
      <c r="S155" s="163">
        <f t="shared" si="99"/>
        <v>3255.1260864192959</v>
      </c>
      <c r="T155" s="163">
        <f t="shared" si="99"/>
        <v>1759.9382487946436</v>
      </c>
      <c r="U155" s="163">
        <f t="shared" si="99"/>
        <v>829.93165381912877</v>
      </c>
      <c r="V155" s="163">
        <f t="shared" si="99"/>
        <v>1058.2179023624296</v>
      </c>
      <c r="W155" s="163">
        <f t="shared" si="99"/>
        <v>0</v>
      </c>
      <c r="X155" s="163">
        <f t="shared" si="99"/>
        <v>3255.1260864192959</v>
      </c>
      <c r="Y155" s="163">
        <f t="shared" si="99"/>
        <v>1759.9382487946436</v>
      </c>
      <c r="Z155" s="163">
        <f t="shared" si="99"/>
        <v>829.93165381912877</v>
      </c>
      <c r="AA155" s="163">
        <f t="shared" si="99"/>
        <v>1058.2179023624296</v>
      </c>
      <c r="AB155" s="163">
        <f t="shared" si="99"/>
        <v>0</v>
      </c>
      <c r="AC155" s="163">
        <f t="shared" si="99"/>
        <v>429.93232794509885</v>
      </c>
      <c r="AD155" s="163">
        <f t="shared" si="99"/>
        <v>153.6209037501672</v>
      </c>
      <c r="AE155" s="163">
        <f t="shared" si="99"/>
        <v>59.798741057112068</v>
      </c>
      <c r="AF155" s="163">
        <f t="shared" si="99"/>
        <v>54.643677172878263</v>
      </c>
      <c r="AG155" s="163">
        <f t="shared" si="99"/>
        <v>1889.7423367815629</v>
      </c>
      <c r="AH155" s="163">
        <f t="shared" si="99"/>
        <v>0</v>
      </c>
      <c r="AI155" s="163">
        <f t="shared" si="99"/>
        <v>0</v>
      </c>
      <c r="AJ155" s="163">
        <f t="shared" si="99"/>
        <v>0</v>
      </c>
      <c r="AK155" s="163">
        <f t="shared" si="99"/>
        <v>0</v>
      </c>
      <c r="AL155" s="163">
        <f t="shared" si="99"/>
        <v>0</v>
      </c>
      <c r="AM155" s="163">
        <f t="shared" si="99"/>
        <v>0</v>
      </c>
      <c r="AN155" s="163">
        <f t="shared" si="99"/>
        <v>0</v>
      </c>
      <c r="AO155" s="163">
        <f t="shared" si="99"/>
        <v>0</v>
      </c>
    </row>
    <row r="156" spans="1:41" x14ac:dyDescent="0.35">
      <c r="C156" s="29"/>
      <c r="D156"/>
      <c r="E156"/>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1:41" x14ac:dyDescent="0.35">
      <c r="A157" s="320"/>
      <c r="C157" s="29"/>
      <c r="D157"/>
      <c r="E157" t="s">
        <v>1138</v>
      </c>
      <c r="G157" t="s">
        <v>167</v>
      </c>
      <c r="J157" s="402">
        <f>IF(J155&lt;&gt;0,J153/J155,0)</f>
        <v>1</v>
      </c>
      <c r="K157" s="402">
        <f t="shared" ref="K157:AO157" si="100">IF(K155&lt;&gt;0,K153/K155,0)</f>
        <v>0</v>
      </c>
      <c r="L157" s="402">
        <f t="shared" si="100"/>
        <v>0</v>
      </c>
      <c r="M157" s="402">
        <f t="shared" si="100"/>
        <v>1</v>
      </c>
      <c r="N157" s="402">
        <f t="shared" si="100"/>
        <v>1</v>
      </c>
      <c r="O157" s="402">
        <f t="shared" si="100"/>
        <v>1</v>
      </c>
      <c r="P157" s="402">
        <f t="shared" si="100"/>
        <v>1</v>
      </c>
      <c r="Q157" s="402">
        <f t="shared" si="100"/>
        <v>0</v>
      </c>
      <c r="R157" s="402">
        <f t="shared" si="100"/>
        <v>0</v>
      </c>
      <c r="S157" s="402">
        <f t="shared" si="100"/>
        <v>0.99694440673238349</v>
      </c>
      <c r="T157" s="402">
        <f t="shared" si="100"/>
        <v>0.99246462852756878</v>
      </c>
      <c r="U157" s="402">
        <f t="shared" si="100"/>
        <v>0.96804125156046206</v>
      </c>
      <c r="V157" s="402">
        <f t="shared" si="100"/>
        <v>0.93211730079141564</v>
      </c>
      <c r="W157" s="402">
        <f t="shared" si="100"/>
        <v>0</v>
      </c>
      <c r="X157" s="402">
        <f t="shared" si="100"/>
        <v>3.0555932676165232E-3</v>
      </c>
      <c r="Y157" s="402">
        <f t="shared" si="100"/>
        <v>7.5353714724311713E-3</v>
      </c>
      <c r="Z157" s="402">
        <f t="shared" si="100"/>
        <v>3.1958748439537984E-2</v>
      </c>
      <c r="AA157" s="402">
        <f t="shared" si="100"/>
        <v>6.7882699208584446E-2</v>
      </c>
      <c r="AB157" s="402">
        <f t="shared" si="100"/>
        <v>0</v>
      </c>
      <c r="AC157" s="402">
        <f t="shared" si="100"/>
        <v>1</v>
      </c>
      <c r="AD157" s="402">
        <f t="shared" si="100"/>
        <v>1</v>
      </c>
      <c r="AE157" s="402">
        <f t="shared" si="100"/>
        <v>1</v>
      </c>
      <c r="AF157" s="402">
        <f t="shared" si="100"/>
        <v>1</v>
      </c>
      <c r="AG157" s="402">
        <f t="shared" si="100"/>
        <v>1</v>
      </c>
      <c r="AH157" s="402">
        <f t="shared" si="100"/>
        <v>0</v>
      </c>
      <c r="AI157" s="402">
        <f t="shared" si="100"/>
        <v>0</v>
      </c>
      <c r="AJ157" s="402">
        <f t="shared" si="100"/>
        <v>0</v>
      </c>
      <c r="AK157" s="402">
        <f t="shared" si="100"/>
        <v>0</v>
      </c>
      <c r="AL157" s="402">
        <f t="shared" si="100"/>
        <v>0</v>
      </c>
      <c r="AM157" s="402">
        <f t="shared" si="100"/>
        <v>0</v>
      </c>
      <c r="AN157" s="402">
        <f t="shared" si="100"/>
        <v>0</v>
      </c>
      <c r="AO157" s="402">
        <f t="shared" si="100"/>
        <v>0</v>
      </c>
    </row>
    <row r="158" spans="1:41" x14ac:dyDescent="0.35">
      <c r="C158" s="29"/>
      <c r="D158"/>
      <c r="E158"/>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1:41" x14ac:dyDescent="0.35">
      <c r="C159" s="31" t="str">
        <f ca="1">INDEX('Version control'!$H$34:$H$57,MATCH($A$1,'Version control'!$F$34:$F$57,0),1)&amp;"-E: Calculating unit volumes for matching"</f>
        <v>Section 116-E: Calculating unit volumes for matching</v>
      </c>
      <c r="D159" s="31"/>
      <c r="E159" s="31"/>
      <c r="F159" s="31"/>
      <c r="G159" s="31"/>
      <c r="H159" s="31"/>
      <c r="I159" s="31"/>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row>
    <row r="160" spans="1:41" x14ac:dyDescent="0.35">
      <c r="C160" s="29"/>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row>
    <row r="161" spans="3:43" x14ac:dyDescent="0.35">
      <c r="C161" s="29"/>
      <c r="D161" s="29" t="s">
        <v>1150</v>
      </c>
      <c r="I161" t="s">
        <v>154</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Q161" t="s">
        <v>1145</v>
      </c>
    </row>
    <row r="162" spans="3:43" x14ac:dyDescent="0.35">
      <c r="C162" s="29"/>
      <c r="D162" s="29" t="s">
        <v>1124</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3:43" x14ac:dyDescent="0.35">
      <c r="C163" s="29"/>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row>
    <row r="164" spans="3:43" x14ac:dyDescent="0.35">
      <c r="C164" s="29"/>
      <c r="D164"/>
      <c r="E164" t="s">
        <v>1024</v>
      </c>
      <c r="G164" t="s">
        <v>207</v>
      </c>
      <c r="J164" s="163">
        <f t="shared" ref="J164:AO164" si="101">SUM(J53:J55)</f>
        <v>2586421.4866675828</v>
      </c>
      <c r="K164" s="163">
        <f t="shared" si="101"/>
        <v>367023.01289185032</v>
      </c>
      <c r="L164" s="163">
        <f t="shared" si="101"/>
        <v>0</v>
      </c>
      <c r="M164" s="163">
        <f t="shared" si="101"/>
        <v>33375.896677773038</v>
      </c>
      <c r="N164" s="163">
        <f t="shared" si="101"/>
        <v>160210.90021597125</v>
      </c>
      <c r="O164" s="163">
        <f t="shared" si="101"/>
        <v>223225.87045587832</v>
      </c>
      <c r="P164" s="163">
        <f t="shared" si="101"/>
        <v>590768.41262923519</v>
      </c>
      <c r="Q164" s="163">
        <f t="shared" si="101"/>
        <v>23656.846153411865</v>
      </c>
      <c r="R164" s="163">
        <f t="shared" si="101"/>
        <v>0</v>
      </c>
      <c r="S164" s="163">
        <f t="shared" si="101"/>
        <v>288456.62994285865</v>
      </c>
      <c r="T164" s="163">
        <f t="shared" si="101"/>
        <v>296349.10554447694</v>
      </c>
      <c r="U164" s="163">
        <f t="shared" si="101"/>
        <v>224072.72951416703</v>
      </c>
      <c r="V164" s="163">
        <f t="shared" si="101"/>
        <v>609910.32198136183</v>
      </c>
      <c r="W164" s="163">
        <f t="shared" si="101"/>
        <v>0</v>
      </c>
      <c r="X164" s="163">
        <f t="shared" si="101"/>
        <v>6621.6666529626973</v>
      </c>
      <c r="Y164" s="163">
        <f t="shared" si="101"/>
        <v>4061.459656958853</v>
      </c>
      <c r="Z164" s="163">
        <f t="shared" si="101"/>
        <v>12032.613061132544</v>
      </c>
      <c r="AA164" s="163">
        <f t="shared" si="101"/>
        <v>93976.11746562671</v>
      </c>
      <c r="AB164" s="163">
        <f t="shared" si="101"/>
        <v>0</v>
      </c>
      <c r="AC164" s="163">
        <f t="shared" si="101"/>
        <v>72293.14767801702</v>
      </c>
      <c r="AD164" s="163">
        <f t="shared" si="101"/>
        <v>201015.1387746628</v>
      </c>
      <c r="AE164" s="163">
        <f t="shared" si="101"/>
        <v>168303.9335514651</v>
      </c>
      <c r="AF164" s="163">
        <f t="shared" si="101"/>
        <v>337748.61752761388</v>
      </c>
      <c r="AG164" s="163">
        <f t="shared" si="101"/>
        <v>96289.216654613803</v>
      </c>
      <c r="AH164" s="163">
        <f t="shared" si="101"/>
        <v>6265.4870185122818</v>
      </c>
      <c r="AI164" s="163">
        <f t="shared" si="101"/>
        <v>2.234</v>
      </c>
      <c r="AJ164" s="163">
        <f t="shared" si="101"/>
        <v>407365.85243976471</v>
      </c>
      <c r="AK164" s="163">
        <f t="shared" si="101"/>
        <v>0</v>
      </c>
      <c r="AL164" s="163">
        <f t="shared" si="101"/>
        <v>3382.9138800481742</v>
      </c>
      <c r="AM164" s="163">
        <f t="shared" si="101"/>
        <v>0</v>
      </c>
      <c r="AN164" s="163">
        <f t="shared" si="101"/>
        <v>1625812.3317754827</v>
      </c>
      <c r="AO164" s="163">
        <f t="shared" si="101"/>
        <v>0</v>
      </c>
    </row>
    <row r="165" spans="3:43" x14ac:dyDescent="0.35">
      <c r="C165" s="29"/>
      <c r="D165"/>
      <c r="E16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row>
    <row r="166" spans="3:43" x14ac:dyDescent="0.35">
      <c r="C166" s="29"/>
      <c r="D166"/>
      <c r="E166" t="s">
        <v>1025</v>
      </c>
      <c r="G166" t="s">
        <v>207</v>
      </c>
      <c r="J166" s="163">
        <f t="shared" ref="J166:AO166" si="102">IF(J32,J164, 0)</f>
        <v>2586421.4866675828</v>
      </c>
      <c r="K166" s="163">
        <f t="shared" si="102"/>
        <v>0</v>
      </c>
      <c r="L166" s="163">
        <f t="shared" si="102"/>
        <v>0</v>
      </c>
      <c r="M166" s="163">
        <f t="shared" si="102"/>
        <v>33375.896677773038</v>
      </c>
      <c r="N166" s="163">
        <f t="shared" si="102"/>
        <v>160210.90021597125</v>
      </c>
      <c r="O166" s="163">
        <f t="shared" si="102"/>
        <v>223225.87045587832</v>
      </c>
      <c r="P166" s="163">
        <f t="shared" si="102"/>
        <v>590768.41262923519</v>
      </c>
      <c r="Q166" s="163">
        <f t="shared" si="102"/>
        <v>0</v>
      </c>
      <c r="R166" s="163">
        <f t="shared" si="102"/>
        <v>0</v>
      </c>
      <c r="S166" s="163">
        <f t="shared" si="102"/>
        <v>288456.62994285865</v>
      </c>
      <c r="T166" s="163">
        <f t="shared" si="102"/>
        <v>296349.10554447694</v>
      </c>
      <c r="U166" s="163">
        <f t="shared" si="102"/>
        <v>224072.72951416703</v>
      </c>
      <c r="V166" s="163">
        <f t="shared" si="102"/>
        <v>609910.32198136183</v>
      </c>
      <c r="W166" s="163">
        <f t="shared" si="102"/>
        <v>0</v>
      </c>
      <c r="X166" s="163">
        <f t="shared" si="102"/>
        <v>6621.6666529626973</v>
      </c>
      <c r="Y166" s="163">
        <f t="shared" si="102"/>
        <v>4061.459656958853</v>
      </c>
      <c r="Z166" s="163">
        <f t="shared" si="102"/>
        <v>12032.613061132544</v>
      </c>
      <c r="AA166" s="163">
        <f t="shared" si="102"/>
        <v>93976.11746562671</v>
      </c>
      <c r="AB166" s="163">
        <f t="shared" si="102"/>
        <v>0</v>
      </c>
      <c r="AC166" s="163">
        <f t="shared" si="102"/>
        <v>72293.14767801702</v>
      </c>
      <c r="AD166" s="163">
        <f t="shared" si="102"/>
        <v>201015.1387746628</v>
      </c>
      <c r="AE166" s="163">
        <f t="shared" si="102"/>
        <v>168303.9335514651</v>
      </c>
      <c r="AF166" s="163">
        <f t="shared" si="102"/>
        <v>337748.61752761388</v>
      </c>
      <c r="AG166" s="163">
        <f t="shared" si="102"/>
        <v>96289.216654613803</v>
      </c>
      <c r="AH166" s="163">
        <f t="shared" si="102"/>
        <v>0</v>
      </c>
      <c r="AI166" s="163">
        <f t="shared" si="102"/>
        <v>0</v>
      </c>
      <c r="AJ166" s="163">
        <f t="shared" si="102"/>
        <v>0</v>
      </c>
      <c r="AK166" s="163">
        <f t="shared" si="102"/>
        <v>0</v>
      </c>
      <c r="AL166" s="163">
        <f t="shared" si="102"/>
        <v>0</v>
      </c>
      <c r="AM166" s="163">
        <f t="shared" si="102"/>
        <v>0</v>
      </c>
      <c r="AN166" s="163">
        <f t="shared" si="102"/>
        <v>0</v>
      </c>
      <c r="AO166" s="163">
        <f t="shared" si="102"/>
        <v>0</v>
      </c>
    </row>
    <row r="167" spans="3:43" x14ac:dyDescent="0.35">
      <c r="C167" s="29"/>
      <c r="D167"/>
      <c r="E16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row>
    <row r="168" spans="3:43" x14ac:dyDescent="0.35">
      <c r="C168" s="29"/>
      <c r="D168"/>
      <c r="E168" s="29" t="s">
        <v>1034</v>
      </c>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3:43" x14ac:dyDescent="0.35">
      <c r="C169" s="29"/>
      <c r="D169"/>
      <c r="E169"/>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row>
    <row r="170" spans="3:43" x14ac:dyDescent="0.35">
      <c r="C170" s="29"/>
      <c r="D170"/>
      <c r="E170" t="s">
        <v>1019</v>
      </c>
      <c r="G170" t="s">
        <v>167</v>
      </c>
      <c r="J170" s="383">
        <v>1</v>
      </c>
      <c r="K170" s="66"/>
      <c r="L170" s="79"/>
      <c r="M170" s="426">
        <f>'Volume adjustments'!K689</f>
        <v>3.3124775108394629E-2</v>
      </c>
      <c r="N170" s="426">
        <f>'Volume adjustments'!L689</f>
        <v>0.15900546705316557</v>
      </c>
      <c r="O170" s="426">
        <f>'Volume adjustments'!M689</f>
        <v>0.22154631015953805</v>
      </c>
      <c r="P170" s="426">
        <f>'Volume adjustments'!N689</f>
        <v>0.58632344767890177</v>
      </c>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spans="3:43" x14ac:dyDescent="0.35">
      <c r="C171" s="29"/>
      <c r="D171"/>
      <c r="E171"/>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row>
    <row r="172" spans="3:43" x14ac:dyDescent="0.35">
      <c r="C172" s="29"/>
      <c r="D172"/>
      <c r="E172" t="s">
        <v>995</v>
      </c>
      <c r="G172" t="s">
        <v>207</v>
      </c>
      <c r="J172" s="163">
        <f>J170*$K164</f>
        <v>367023.01289185032</v>
      </c>
      <c r="K172" s="79"/>
      <c r="L172" s="79"/>
      <c r="M172" s="163">
        <f>M170*$Q164</f>
        <v>783.62770860565854</v>
      </c>
      <c r="N172" s="163">
        <f>N170*$Q164</f>
        <v>3761.5678716281368</v>
      </c>
      <c r="O172" s="163">
        <f>O170*$Q164</f>
        <v>5241.0869753002598</v>
      </c>
      <c r="P172" s="163">
        <f>P170*$Q164</f>
        <v>13870.56359787781</v>
      </c>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3:43" x14ac:dyDescent="0.35">
      <c r="C173" s="29"/>
      <c r="D173"/>
      <c r="E173"/>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row>
    <row r="174" spans="3:43" x14ac:dyDescent="0.35">
      <c r="C174" s="29"/>
      <c r="D174"/>
      <c r="E174" t="s">
        <v>1026</v>
      </c>
      <c r="G174" t="s">
        <v>207</v>
      </c>
      <c r="J174" s="163">
        <f t="shared" ref="J174:AO174" si="103">J166+J172</f>
        <v>2953444.4995594332</v>
      </c>
      <c r="K174" s="163">
        <f t="shared" si="103"/>
        <v>0</v>
      </c>
      <c r="L174" s="163">
        <f t="shared" si="103"/>
        <v>0</v>
      </c>
      <c r="M174" s="163">
        <f t="shared" si="103"/>
        <v>34159.524386378696</v>
      </c>
      <c r="N174" s="163">
        <f t="shared" si="103"/>
        <v>163972.46808759938</v>
      </c>
      <c r="O174" s="163">
        <f t="shared" si="103"/>
        <v>228466.95743117857</v>
      </c>
      <c r="P174" s="163">
        <f t="shared" si="103"/>
        <v>604638.97622711305</v>
      </c>
      <c r="Q174" s="163">
        <f t="shared" si="103"/>
        <v>0</v>
      </c>
      <c r="R174" s="163">
        <f t="shared" si="103"/>
        <v>0</v>
      </c>
      <c r="S174" s="163">
        <f t="shared" si="103"/>
        <v>288456.62994285865</v>
      </c>
      <c r="T174" s="163">
        <f t="shared" si="103"/>
        <v>296349.10554447694</v>
      </c>
      <c r="U174" s="163">
        <f t="shared" si="103"/>
        <v>224072.72951416703</v>
      </c>
      <c r="V174" s="163">
        <f t="shared" si="103"/>
        <v>609910.32198136183</v>
      </c>
      <c r="W174" s="163">
        <f t="shared" si="103"/>
        <v>0</v>
      </c>
      <c r="X174" s="163">
        <f t="shared" si="103"/>
        <v>6621.6666529626973</v>
      </c>
      <c r="Y174" s="163">
        <f t="shared" si="103"/>
        <v>4061.459656958853</v>
      </c>
      <c r="Z174" s="163">
        <f t="shared" si="103"/>
        <v>12032.613061132544</v>
      </c>
      <c r="AA174" s="163">
        <f t="shared" si="103"/>
        <v>93976.11746562671</v>
      </c>
      <c r="AB174" s="163">
        <f t="shared" si="103"/>
        <v>0</v>
      </c>
      <c r="AC174" s="163">
        <f t="shared" si="103"/>
        <v>72293.14767801702</v>
      </c>
      <c r="AD174" s="163">
        <f t="shared" si="103"/>
        <v>201015.1387746628</v>
      </c>
      <c r="AE174" s="163">
        <f t="shared" si="103"/>
        <v>168303.9335514651</v>
      </c>
      <c r="AF174" s="163">
        <f t="shared" si="103"/>
        <v>337748.61752761388</v>
      </c>
      <c r="AG174" s="163">
        <f t="shared" si="103"/>
        <v>96289.216654613803</v>
      </c>
      <c r="AH174" s="163">
        <f t="shared" si="103"/>
        <v>0</v>
      </c>
      <c r="AI174" s="163">
        <f t="shared" si="103"/>
        <v>0</v>
      </c>
      <c r="AJ174" s="163">
        <f t="shared" si="103"/>
        <v>0</v>
      </c>
      <c r="AK174" s="163">
        <f t="shared" si="103"/>
        <v>0</v>
      </c>
      <c r="AL174" s="163">
        <f t="shared" si="103"/>
        <v>0</v>
      </c>
      <c r="AM174" s="163">
        <f t="shared" si="103"/>
        <v>0</v>
      </c>
      <c r="AN174" s="163">
        <f t="shared" si="103"/>
        <v>0</v>
      </c>
      <c r="AO174" s="163">
        <f t="shared" si="103"/>
        <v>0</v>
      </c>
    </row>
    <row r="175" spans="3:43" x14ac:dyDescent="0.35">
      <c r="C175" s="29"/>
      <c r="D175"/>
      <c r="E175"/>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row>
    <row r="176" spans="3:43" x14ac:dyDescent="0.35">
      <c r="C176" s="31" t="str">
        <f ca="1">INDEX('Version control'!$H$34:$H$57,MATCH($A$1,'Version control'!$F$34:$F$57,0),1)&amp;"-F: Allocating revenue to tariffs"</f>
        <v>Section 116-F: Allocating revenue to tariffs</v>
      </c>
      <c r="D176" s="31"/>
      <c r="E176" s="31"/>
      <c r="F176" s="31"/>
      <c r="G176" s="31"/>
      <c r="H176" s="31"/>
      <c r="I176" s="31"/>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row>
    <row r="177" spans="3:43" x14ac:dyDescent="0.35">
      <c r="C177" s="29"/>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row>
    <row r="178" spans="3:43" x14ac:dyDescent="0.35">
      <c r="C178" s="29"/>
      <c r="D178" s="29" t="s">
        <v>1125</v>
      </c>
      <c r="I178" t="s">
        <v>154</v>
      </c>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Q178" t="s">
        <v>1145</v>
      </c>
    </row>
    <row r="179" spans="3:43" x14ac:dyDescent="0.35">
      <c r="C179" s="29"/>
      <c r="D179" s="29" t="s">
        <v>1126</v>
      </c>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3:43" x14ac:dyDescent="0.35">
      <c r="C180" s="29"/>
      <c r="D180" s="29" t="s">
        <v>1127</v>
      </c>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row>
    <row r="181" spans="3:43" x14ac:dyDescent="0.35">
      <c r="C181" s="29"/>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row>
    <row r="182" spans="3:43" x14ac:dyDescent="0.35">
      <c r="C182" s="29"/>
      <c r="D182" s="320"/>
      <c r="E182" s="320" t="s">
        <v>1028</v>
      </c>
      <c r="F182" s="320"/>
      <c r="G182" t="s">
        <v>207</v>
      </c>
      <c r="J182" s="163">
        <f t="shared" ref="J182:AO182" si="104">SUMIF($J$149:$AO$149,J149,$J$174:$AO$174)</f>
        <v>2953444.4995594332</v>
      </c>
      <c r="K182" s="163">
        <f t="shared" si="104"/>
        <v>0</v>
      </c>
      <c r="L182" s="163">
        <f t="shared" si="104"/>
        <v>0</v>
      </c>
      <c r="M182" s="163">
        <f t="shared" si="104"/>
        <v>34159.524386378696</v>
      </c>
      <c r="N182" s="163">
        <f t="shared" si="104"/>
        <v>163972.46808759938</v>
      </c>
      <c r="O182" s="163">
        <f t="shared" si="104"/>
        <v>228466.95743117857</v>
      </c>
      <c r="P182" s="163">
        <f t="shared" si="104"/>
        <v>604638.97622711305</v>
      </c>
      <c r="Q182" s="163">
        <f t="shared" si="104"/>
        <v>0</v>
      </c>
      <c r="R182" s="163">
        <f t="shared" si="104"/>
        <v>0</v>
      </c>
      <c r="S182" s="163">
        <f t="shared" si="104"/>
        <v>295078.29659582133</v>
      </c>
      <c r="T182" s="163">
        <f t="shared" si="104"/>
        <v>300410.56520143582</v>
      </c>
      <c r="U182" s="163">
        <f t="shared" si="104"/>
        <v>236105.34257529958</v>
      </c>
      <c r="V182" s="163">
        <f t="shared" si="104"/>
        <v>703886.43944698852</v>
      </c>
      <c r="W182" s="163">
        <f t="shared" si="104"/>
        <v>0</v>
      </c>
      <c r="X182" s="163">
        <f t="shared" si="104"/>
        <v>295078.29659582133</v>
      </c>
      <c r="Y182" s="163">
        <f t="shared" si="104"/>
        <v>300410.56520143582</v>
      </c>
      <c r="Z182" s="163">
        <f t="shared" si="104"/>
        <v>236105.34257529958</v>
      </c>
      <c r="AA182" s="163">
        <f t="shared" si="104"/>
        <v>703886.43944698852</v>
      </c>
      <c r="AB182" s="163">
        <f t="shared" si="104"/>
        <v>0</v>
      </c>
      <c r="AC182" s="163">
        <f t="shared" si="104"/>
        <v>72293.14767801702</v>
      </c>
      <c r="AD182" s="163">
        <f t="shared" si="104"/>
        <v>201015.1387746628</v>
      </c>
      <c r="AE182" s="163">
        <f t="shared" si="104"/>
        <v>168303.9335514651</v>
      </c>
      <c r="AF182" s="163">
        <f t="shared" si="104"/>
        <v>337748.61752761388</v>
      </c>
      <c r="AG182" s="163">
        <f t="shared" si="104"/>
        <v>96289.216654613803</v>
      </c>
      <c r="AH182" s="163">
        <f t="shared" si="104"/>
        <v>0</v>
      </c>
      <c r="AI182" s="163">
        <f t="shared" si="104"/>
        <v>0</v>
      </c>
      <c r="AJ182" s="163">
        <f t="shared" si="104"/>
        <v>0</v>
      </c>
      <c r="AK182" s="163">
        <f t="shared" si="104"/>
        <v>0</v>
      </c>
      <c r="AL182" s="163">
        <f t="shared" si="104"/>
        <v>0</v>
      </c>
      <c r="AM182" s="163">
        <f t="shared" si="104"/>
        <v>0</v>
      </c>
      <c r="AN182" s="163">
        <f t="shared" si="104"/>
        <v>0</v>
      </c>
      <c r="AO182" s="163">
        <f t="shared" si="104"/>
        <v>0</v>
      </c>
    </row>
    <row r="183" spans="3:43" x14ac:dyDescent="0.35">
      <c r="C183" s="29"/>
      <c r="D183" s="320"/>
      <c r="E183" s="320"/>
      <c r="F183" s="320"/>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row>
    <row r="184" spans="3:43" x14ac:dyDescent="0.35">
      <c r="C184" s="29"/>
      <c r="D184" s="320"/>
      <c r="E184" s="320" t="s">
        <v>1030</v>
      </c>
      <c r="F184" s="320"/>
      <c r="G184" t="s">
        <v>207</v>
      </c>
      <c r="J184" s="163">
        <f>J157*J182</f>
        <v>2953444.4995594332</v>
      </c>
      <c r="K184" s="163">
        <f t="shared" ref="K184:AO184" si="105">K157*K182</f>
        <v>0</v>
      </c>
      <c r="L184" s="163">
        <f t="shared" si="105"/>
        <v>0</v>
      </c>
      <c r="M184" s="163">
        <f t="shared" si="105"/>
        <v>34159.524386378696</v>
      </c>
      <c r="N184" s="163">
        <f t="shared" si="105"/>
        <v>163972.46808759938</v>
      </c>
      <c r="O184" s="163">
        <f t="shared" si="105"/>
        <v>228466.95743117857</v>
      </c>
      <c r="P184" s="163">
        <f t="shared" si="105"/>
        <v>604638.97622711305</v>
      </c>
      <c r="Q184" s="163">
        <f t="shared" si="105"/>
        <v>0</v>
      </c>
      <c r="R184" s="163">
        <f t="shared" si="105"/>
        <v>0</v>
      </c>
      <c r="S184" s="163">
        <f t="shared" si="105"/>
        <v>294176.65733932337</v>
      </c>
      <c r="T184" s="163">
        <f t="shared" si="105"/>
        <v>298146.85999839997</v>
      </c>
      <c r="U184" s="163">
        <f t="shared" si="105"/>
        <v>228559.71132670465</v>
      </c>
      <c r="V184" s="163">
        <f t="shared" si="105"/>
        <v>656104.72800100711</v>
      </c>
      <c r="W184" s="163">
        <f t="shared" si="105"/>
        <v>0</v>
      </c>
      <c r="X184" s="163">
        <f t="shared" si="105"/>
        <v>901.63925649794328</v>
      </c>
      <c r="Y184" s="163">
        <f t="shared" si="105"/>
        <v>2263.7052030358236</v>
      </c>
      <c r="Z184" s="163">
        <f t="shared" si="105"/>
        <v>7545.6312485949366</v>
      </c>
      <c r="AA184" s="163">
        <f t="shared" si="105"/>
        <v>47781.711445981411</v>
      </c>
      <c r="AB184" s="163">
        <f t="shared" si="105"/>
        <v>0</v>
      </c>
      <c r="AC184" s="163">
        <f t="shared" si="105"/>
        <v>72293.14767801702</v>
      </c>
      <c r="AD184" s="163">
        <f t="shared" si="105"/>
        <v>201015.1387746628</v>
      </c>
      <c r="AE184" s="163">
        <f t="shared" si="105"/>
        <v>168303.9335514651</v>
      </c>
      <c r="AF184" s="163">
        <f t="shared" si="105"/>
        <v>337748.61752761388</v>
      </c>
      <c r="AG184" s="163">
        <f t="shared" si="105"/>
        <v>96289.216654613803</v>
      </c>
      <c r="AH184" s="163">
        <f t="shared" si="105"/>
        <v>0</v>
      </c>
      <c r="AI184" s="163">
        <f t="shared" si="105"/>
        <v>0</v>
      </c>
      <c r="AJ184" s="163">
        <f t="shared" si="105"/>
        <v>0</v>
      </c>
      <c r="AK184" s="163">
        <f t="shared" si="105"/>
        <v>0</v>
      </c>
      <c r="AL184" s="163">
        <f t="shared" si="105"/>
        <v>0</v>
      </c>
      <c r="AM184" s="163">
        <f t="shared" si="105"/>
        <v>0</v>
      </c>
      <c r="AN184" s="163">
        <f t="shared" si="105"/>
        <v>0</v>
      </c>
      <c r="AO184" s="163">
        <f t="shared" si="105"/>
        <v>0</v>
      </c>
    </row>
    <row r="185" spans="3:43" x14ac:dyDescent="0.35">
      <c r="C185" s="29"/>
      <c r="D185" s="320"/>
      <c r="E185" s="320"/>
      <c r="F185" s="320"/>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row>
    <row r="186" spans="3:43" x14ac:dyDescent="0.35">
      <c r="C186" s="29"/>
      <c r="D186"/>
      <c r="E186" t="s">
        <v>455</v>
      </c>
      <c r="G186" t="s">
        <v>207</v>
      </c>
      <c r="H186" s="163">
        <f>SUM($J$184:$AO$184)</f>
        <v>6395813.1236976199</v>
      </c>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row>
    <row r="187" spans="3:43" x14ac:dyDescent="0.35">
      <c r="C187" s="29"/>
      <c r="D187"/>
      <c r="E18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row>
    <row r="188" spans="3:43" x14ac:dyDescent="0.35">
      <c r="C188" s="29"/>
      <c r="D188"/>
      <c r="E188" t="s">
        <v>1042</v>
      </c>
      <c r="G188" t="s">
        <v>167</v>
      </c>
      <c r="J188" s="335">
        <f>J184/$H186</f>
        <v>0.46177779782470479</v>
      </c>
      <c r="K188" s="335">
        <f t="shared" ref="K188:AO188" si="106">K184/$H186</f>
        <v>0</v>
      </c>
      <c r="L188" s="335">
        <f t="shared" si="106"/>
        <v>0</v>
      </c>
      <c r="M188" s="335">
        <f t="shared" si="106"/>
        <v>5.3409197119615032E-3</v>
      </c>
      <c r="N188" s="335">
        <f t="shared" si="106"/>
        <v>2.5637470156851888E-2</v>
      </c>
      <c r="O188" s="335">
        <f t="shared" si="106"/>
        <v>3.5721330972705884E-2</v>
      </c>
      <c r="P188" s="335">
        <f t="shared" si="106"/>
        <v>9.4536685880770743E-2</v>
      </c>
      <c r="Q188" s="335">
        <f t="shared" si="106"/>
        <v>0</v>
      </c>
      <c r="R188" s="335">
        <f t="shared" si="106"/>
        <v>0</v>
      </c>
      <c r="S188" s="335">
        <f t="shared" si="106"/>
        <v>4.599519273778447E-2</v>
      </c>
      <c r="T188" s="335">
        <f t="shared" si="106"/>
        <v>4.6615942997726603E-2</v>
      </c>
      <c r="U188" s="335">
        <f t="shared" si="106"/>
        <v>3.5735833256267363E-2</v>
      </c>
      <c r="V188" s="335">
        <f t="shared" si="106"/>
        <v>0.10258347379944904</v>
      </c>
      <c r="W188" s="335">
        <f t="shared" si="106"/>
        <v>0</v>
      </c>
      <c r="X188" s="335">
        <f t="shared" si="106"/>
        <v>1.4097335851749799E-4</v>
      </c>
      <c r="Y188" s="335">
        <f t="shared" si="106"/>
        <v>3.5393548236242159E-4</v>
      </c>
      <c r="Z188" s="335">
        <f t="shared" si="106"/>
        <v>1.1797766918231298E-3</v>
      </c>
      <c r="AA188" s="335">
        <f t="shared" si="106"/>
        <v>7.4707797932590794E-3</v>
      </c>
      <c r="AB188" s="335">
        <f t="shared" si="106"/>
        <v>0</v>
      </c>
      <c r="AC188" s="335">
        <f t="shared" si="106"/>
        <v>1.1303198870861019E-2</v>
      </c>
      <c r="AD188" s="335">
        <f t="shared" si="106"/>
        <v>3.1429176382572234E-2</v>
      </c>
      <c r="AE188" s="335">
        <f t="shared" si="106"/>
        <v>2.6314704682015994E-2</v>
      </c>
      <c r="AF188" s="335">
        <f t="shared" si="106"/>
        <v>5.2807768300201806E-2</v>
      </c>
      <c r="AG188" s="335">
        <f t="shared" si="106"/>
        <v>1.505503910016464E-2</v>
      </c>
      <c r="AH188" s="335">
        <f t="shared" si="106"/>
        <v>0</v>
      </c>
      <c r="AI188" s="335">
        <f t="shared" si="106"/>
        <v>0</v>
      </c>
      <c r="AJ188" s="335">
        <f t="shared" si="106"/>
        <v>0</v>
      </c>
      <c r="AK188" s="335">
        <f t="shared" si="106"/>
        <v>0</v>
      </c>
      <c r="AL188" s="335">
        <f t="shared" si="106"/>
        <v>0</v>
      </c>
      <c r="AM188" s="335">
        <f t="shared" si="106"/>
        <v>0</v>
      </c>
      <c r="AN188" s="335">
        <f t="shared" si="106"/>
        <v>0</v>
      </c>
      <c r="AO188" s="335">
        <f t="shared" si="106"/>
        <v>0</v>
      </c>
    </row>
    <row r="189" spans="3:43" x14ac:dyDescent="0.35">
      <c r="C189" s="29"/>
      <c r="D189"/>
      <c r="E189"/>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row>
    <row r="190" spans="3:43" x14ac:dyDescent="0.35">
      <c r="C190" s="29"/>
      <c r="D190"/>
      <c r="E190" t="s">
        <v>937</v>
      </c>
      <c r="G190" t="s">
        <v>277</v>
      </c>
      <c r="J190" s="163">
        <f>$H$84 * J188</f>
        <v>26894799.170218028</v>
      </c>
      <c r="K190" s="163">
        <f t="shared" ref="K190:AO190" si="107">$H$84 * K188</f>
        <v>0</v>
      </c>
      <c r="L190" s="163">
        <f t="shared" si="107"/>
        <v>0</v>
      </c>
      <c r="M190" s="163">
        <f t="shared" si="107"/>
        <v>311065.11338163458</v>
      </c>
      <c r="N190" s="163">
        <f t="shared" si="107"/>
        <v>1493174.0208149545</v>
      </c>
      <c r="O190" s="163">
        <f t="shared" si="107"/>
        <v>2080476.8594970678</v>
      </c>
      <c r="P190" s="163">
        <f t="shared" si="107"/>
        <v>5505992.6937987814</v>
      </c>
      <c r="Q190" s="163">
        <f t="shared" si="107"/>
        <v>0</v>
      </c>
      <c r="R190" s="163">
        <f t="shared" si="107"/>
        <v>0</v>
      </c>
      <c r="S190" s="163">
        <f t="shared" si="107"/>
        <v>2678845.7074061683</v>
      </c>
      <c r="T190" s="163">
        <f t="shared" si="107"/>
        <v>2714999.3589126919</v>
      </c>
      <c r="U190" s="163">
        <f t="shared" si="107"/>
        <v>2081321.4995073343</v>
      </c>
      <c r="V190" s="163">
        <f t="shared" si="107"/>
        <v>5974652.6121787103</v>
      </c>
      <c r="W190" s="163">
        <f t="shared" si="107"/>
        <v>0</v>
      </c>
      <c r="X190" s="163">
        <f t="shared" si="107"/>
        <v>8210.5510129322502</v>
      </c>
      <c r="Y190" s="163">
        <f t="shared" si="107"/>
        <v>20613.861823138333</v>
      </c>
      <c r="Z190" s="163">
        <f t="shared" si="107"/>
        <v>68712.39228424801</v>
      </c>
      <c r="AA190" s="163">
        <f t="shared" si="107"/>
        <v>435112.13213611225</v>
      </c>
      <c r="AB190" s="163">
        <f t="shared" si="107"/>
        <v>0</v>
      </c>
      <c r="AC190" s="163">
        <f t="shared" si="107"/>
        <v>658319.3584552597</v>
      </c>
      <c r="AD190" s="163">
        <f t="shared" si="107"/>
        <v>1830493.780507647</v>
      </c>
      <c r="AE190" s="163">
        <f t="shared" si="107"/>
        <v>1532617.4211499805</v>
      </c>
      <c r="AF190" s="163">
        <f t="shared" si="107"/>
        <v>3075622.7989992606</v>
      </c>
      <c r="AG190" s="163">
        <f t="shared" si="107"/>
        <v>876833.52254283265</v>
      </c>
      <c r="AH190" s="163">
        <f t="shared" si="107"/>
        <v>0</v>
      </c>
      <c r="AI190" s="163">
        <f t="shared" si="107"/>
        <v>0</v>
      </c>
      <c r="AJ190" s="163">
        <f t="shared" si="107"/>
        <v>0</v>
      </c>
      <c r="AK190" s="163">
        <f t="shared" si="107"/>
        <v>0</v>
      </c>
      <c r="AL190" s="163">
        <f t="shared" si="107"/>
        <v>0</v>
      </c>
      <c r="AM190" s="163">
        <f t="shared" si="107"/>
        <v>0</v>
      </c>
      <c r="AN190" s="163">
        <f t="shared" si="107"/>
        <v>0</v>
      </c>
      <c r="AO190" s="163">
        <f t="shared" si="107"/>
        <v>0</v>
      </c>
    </row>
    <row r="191" spans="3:43" x14ac:dyDescent="0.35">
      <c r="C191" s="29"/>
      <c r="D191"/>
      <c r="E191"/>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3:43" x14ac:dyDescent="0.35">
      <c r="C192" s="31" t="str">
        <f ca="1">INDEX('Version control'!$H$34:$H$57,MATCH($A$1,'Version control'!$F$34:$F$57,0),1)&amp;"-G: Calculating the residual fixed charge"</f>
        <v>Section 116-G: Calculating the residual fixed charge</v>
      </c>
      <c r="D192" s="31"/>
      <c r="E192" s="31"/>
      <c r="F192" s="31"/>
      <c r="G192" s="31"/>
      <c r="H192" s="31"/>
      <c r="I192" s="31"/>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row>
    <row r="193" spans="3:43" x14ac:dyDescent="0.35">
      <c r="C193" s="29"/>
      <c r="D193"/>
      <c r="E193"/>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row>
    <row r="194" spans="3:43" x14ac:dyDescent="0.35">
      <c r="C194" s="29"/>
      <c r="D194" s="29" t="s">
        <v>1040</v>
      </c>
      <c r="E19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3:43" x14ac:dyDescent="0.35">
      <c r="C195" s="29"/>
      <c r="D195"/>
      <c r="E195"/>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row>
    <row r="196" spans="3:43" x14ac:dyDescent="0.35">
      <c r="C196" s="29"/>
      <c r="D196"/>
      <c r="E196" t="s">
        <v>938</v>
      </c>
      <c r="G196" t="s">
        <v>1139</v>
      </c>
      <c r="I196" t="s">
        <v>154</v>
      </c>
      <c r="J196" s="163">
        <f t="shared" ref="J196:AO196" si="108">IF(J33, J190/J153, 0)</f>
        <v>37.756368059758998</v>
      </c>
      <c r="K196" s="163">
        <f t="shared" si="108"/>
        <v>0</v>
      </c>
      <c r="L196" s="163">
        <f t="shared" si="108"/>
        <v>0</v>
      </c>
      <c r="M196" s="163">
        <f t="shared" si="108"/>
        <v>10.980406081623395</v>
      </c>
      <c r="N196" s="163">
        <f t="shared" si="108"/>
        <v>64.976319339983178</v>
      </c>
      <c r="O196" s="163">
        <f t="shared" si="108"/>
        <v>160.33839530547607</v>
      </c>
      <c r="P196" s="163">
        <f t="shared" si="108"/>
        <v>524.62894142903315</v>
      </c>
      <c r="Q196" s="163">
        <f t="shared" si="108"/>
        <v>0</v>
      </c>
      <c r="R196" s="163">
        <f t="shared" si="108"/>
        <v>0</v>
      </c>
      <c r="S196" s="163">
        <f t="shared" si="108"/>
        <v>825.48453948673807</v>
      </c>
      <c r="T196" s="163">
        <f t="shared" si="108"/>
        <v>1554.3802304480923</v>
      </c>
      <c r="U196" s="163">
        <f t="shared" si="108"/>
        <v>2590.6156029809054</v>
      </c>
      <c r="V196" s="163">
        <f t="shared" si="108"/>
        <v>6057.1312675822965</v>
      </c>
      <c r="W196" s="163">
        <f t="shared" si="108"/>
        <v>0</v>
      </c>
      <c r="X196" s="163">
        <f t="shared" si="108"/>
        <v>825.4845394867383</v>
      </c>
      <c r="Y196" s="163">
        <f t="shared" si="108"/>
        <v>1554.3802304480926</v>
      </c>
      <c r="Z196" s="163">
        <f t="shared" si="108"/>
        <v>2590.6156029809054</v>
      </c>
      <c r="AA196" s="163">
        <f t="shared" si="108"/>
        <v>6057.1312675822965</v>
      </c>
      <c r="AB196" s="163">
        <f t="shared" si="108"/>
        <v>0</v>
      </c>
      <c r="AC196" s="163">
        <f t="shared" si="108"/>
        <v>1531.2162302419958</v>
      </c>
      <c r="AD196" s="163">
        <f t="shared" si="108"/>
        <v>11915.655589974711</v>
      </c>
      <c r="AE196" s="163">
        <f t="shared" si="108"/>
        <v>25629.593433852086</v>
      </c>
      <c r="AF196" s="163">
        <f t="shared" si="108"/>
        <v>56285.062757925254</v>
      </c>
      <c r="AG196" s="163">
        <f t="shared" si="108"/>
        <v>0</v>
      </c>
      <c r="AH196" s="163">
        <f t="shared" si="108"/>
        <v>0</v>
      </c>
      <c r="AI196" s="163">
        <f t="shared" si="108"/>
        <v>0</v>
      </c>
      <c r="AJ196" s="163">
        <f t="shared" si="108"/>
        <v>0</v>
      </c>
      <c r="AK196" s="163">
        <f t="shared" si="108"/>
        <v>0</v>
      </c>
      <c r="AL196" s="163">
        <f t="shared" si="108"/>
        <v>0</v>
      </c>
      <c r="AM196" s="163">
        <f t="shared" si="108"/>
        <v>0</v>
      </c>
      <c r="AN196" s="163">
        <f t="shared" si="108"/>
        <v>0</v>
      </c>
      <c r="AO196" s="163">
        <f t="shared" si="108"/>
        <v>0</v>
      </c>
      <c r="AQ196" t="s">
        <v>1154</v>
      </c>
    </row>
    <row r="197" spans="3:43" x14ac:dyDescent="0.35">
      <c r="C197" s="29"/>
      <c r="D197"/>
      <c r="E19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row>
    <row r="198" spans="3:43" x14ac:dyDescent="0.35">
      <c r="C198" s="29"/>
      <c r="D198"/>
      <c r="E198" t="s">
        <v>938</v>
      </c>
      <c r="G198" t="s">
        <v>270</v>
      </c>
      <c r="I198" t="s">
        <v>154</v>
      </c>
      <c r="J198" s="163">
        <f t="shared" ref="J198:AO198" si="109">J196 * hundred / days_in_year</f>
        <v>10.344210427331232</v>
      </c>
      <c r="K198" s="163">
        <f t="shared" si="109"/>
        <v>0</v>
      </c>
      <c r="L198" s="163">
        <f t="shared" si="109"/>
        <v>0</v>
      </c>
      <c r="M198" s="163">
        <f t="shared" si="109"/>
        <v>3.0083304333214778</v>
      </c>
      <c r="N198" s="163">
        <f t="shared" si="109"/>
        <v>17.801731326022786</v>
      </c>
      <c r="O198" s="163">
        <f t="shared" si="109"/>
        <v>43.928327480952348</v>
      </c>
      <c r="P198" s="163">
        <f t="shared" si="109"/>
        <v>143.73395655589948</v>
      </c>
      <c r="Q198" s="163">
        <f t="shared" si="109"/>
        <v>0</v>
      </c>
      <c r="R198" s="163">
        <f t="shared" si="109"/>
        <v>0</v>
      </c>
      <c r="S198" s="163">
        <f t="shared" si="109"/>
        <v>226.16014780458576</v>
      </c>
      <c r="T198" s="163">
        <f t="shared" si="109"/>
        <v>425.85759738303898</v>
      </c>
      <c r="U198" s="163">
        <f t="shared" si="109"/>
        <v>709.75769944682338</v>
      </c>
      <c r="V198" s="163">
        <f t="shared" si="109"/>
        <v>1659.4880185156978</v>
      </c>
      <c r="W198" s="163">
        <f t="shared" si="109"/>
        <v>0</v>
      </c>
      <c r="X198" s="163">
        <f t="shared" si="109"/>
        <v>226.16014780458585</v>
      </c>
      <c r="Y198" s="163">
        <f t="shared" si="109"/>
        <v>425.85759738303909</v>
      </c>
      <c r="Z198" s="163">
        <f t="shared" si="109"/>
        <v>709.75769944682338</v>
      </c>
      <c r="AA198" s="163">
        <f t="shared" si="109"/>
        <v>1659.4880185156978</v>
      </c>
      <c r="AB198" s="163">
        <f t="shared" si="109"/>
        <v>0</v>
      </c>
      <c r="AC198" s="163">
        <f t="shared" si="109"/>
        <v>419.51129595671119</v>
      </c>
      <c r="AD198" s="163">
        <f t="shared" si="109"/>
        <v>3264.5631753355374</v>
      </c>
      <c r="AE198" s="163">
        <f t="shared" si="109"/>
        <v>7021.8064202334481</v>
      </c>
      <c r="AF198" s="163">
        <f t="shared" si="109"/>
        <v>15420.565139157603</v>
      </c>
      <c r="AG198" s="163">
        <f t="shared" si="109"/>
        <v>0</v>
      </c>
      <c r="AH198" s="163">
        <f t="shared" si="109"/>
        <v>0</v>
      </c>
      <c r="AI198" s="163">
        <f t="shared" si="109"/>
        <v>0</v>
      </c>
      <c r="AJ198" s="163">
        <f t="shared" si="109"/>
        <v>0</v>
      </c>
      <c r="AK198" s="163">
        <f t="shared" si="109"/>
        <v>0</v>
      </c>
      <c r="AL198" s="163">
        <f t="shared" si="109"/>
        <v>0</v>
      </c>
      <c r="AM198" s="163">
        <f t="shared" si="109"/>
        <v>0</v>
      </c>
      <c r="AN198" s="163">
        <f t="shared" si="109"/>
        <v>0</v>
      </c>
      <c r="AO198" s="163">
        <f t="shared" si="109"/>
        <v>0</v>
      </c>
      <c r="AQ198" t="s">
        <v>1155</v>
      </c>
    </row>
    <row r="199" spans="3:43" x14ac:dyDescent="0.35">
      <c r="C199" s="29"/>
      <c r="D199"/>
      <c r="E199"/>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3:43" x14ac:dyDescent="0.35">
      <c r="C200" s="31" t="str">
        <f ca="1">INDEX('Version control'!$H$34:$H$57,MATCH($A$1,'Version control'!$F$34:$F$57,0),1)&amp;"-H: Calculating the initial residual unit rate"</f>
        <v>Section 116-H: Calculating the initial residual unit rate</v>
      </c>
      <c r="D200" s="31"/>
      <c r="E200" s="31"/>
      <c r="F200" s="31"/>
      <c r="G200" s="31"/>
      <c r="H200" s="31"/>
      <c r="I200" s="31"/>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row>
    <row r="201" spans="3:43" x14ac:dyDescent="0.35">
      <c r="C201" s="29"/>
      <c r="D201"/>
      <c r="E201"/>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row>
    <row r="202" spans="3:43" x14ac:dyDescent="0.35">
      <c r="C202" s="29"/>
      <c r="D202" s="29" t="s">
        <v>1036</v>
      </c>
      <c r="E202"/>
      <c r="I202" t="s">
        <v>154</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Q202" t="s">
        <v>1146</v>
      </c>
    </row>
    <row r="203" spans="3:43" x14ac:dyDescent="0.35">
      <c r="C203" s="29"/>
      <c r="D203" s="29" t="s">
        <v>1037</v>
      </c>
      <c r="E20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row>
    <row r="204" spans="3:43" x14ac:dyDescent="0.35">
      <c r="C204" s="29"/>
      <c r="D204"/>
      <c r="E20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row>
    <row r="205" spans="3:43" x14ac:dyDescent="0.35">
      <c r="C205" s="29"/>
      <c r="D205"/>
      <c r="E205" t="s">
        <v>939</v>
      </c>
      <c r="G205" t="s">
        <v>940</v>
      </c>
      <c r="J205" s="338">
        <f t="shared" ref="J205:AO205" si="110">IF(J34, J190/J184, 0)</f>
        <v>0</v>
      </c>
      <c r="K205" s="338">
        <f t="shared" si="110"/>
        <v>0</v>
      </c>
      <c r="L205" s="338">
        <f t="shared" si="110"/>
        <v>0</v>
      </c>
      <c r="M205" s="338">
        <f t="shared" si="110"/>
        <v>0</v>
      </c>
      <c r="N205" s="338">
        <f t="shared" si="110"/>
        <v>0</v>
      </c>
      <c r="O205" s="338">
        <f t="shared" si="110"/>
        <v>0</v>
      </c>
      <c r="P205" s="338">
        <f t="shared" si="110"/>
        <v>0</v>
      </c>
      <c r="Q205" s="338">
        <f t="shared" si="110"/>
        <v>0</v>
      </c>
      <c r="R205" s="338">
        <f t="shared" si="110"/>
        <v>0</v>
      </c>
      <c r="S205" s="338">
        <f t="shared" si="110"/>
        <v>0</v>
      </c>
      <c r="T205" s="338">
        <f t="shared" si="110"/>
        <v>0</v>
      </c>
      <c r="U205" s="338">
        <f t="shared" si="110"/>
        <v>0</v>
      </c>
      <c r="V205" s="338">
        <f t="shared" si="110"/>
        <v>0</v>
      </c>
      <c r="W205" s="338">
        <f t="shared" si="110"/>
        <v>0</v>
      </c>
      <c r="X205" s="338">
        <f t="shared" si="110"/>
        <v>0</v>
      </c>
      <c r="Y205" s="338">
        <f t="shared" si="110"/>
        <v>0</v>
      </c>
      <c r="Z205" s="338">
        <f t="shared" si="110"/>
        <v>0</v>
      </c>
      <c r="AA205" s="338">
        <f t="shared" si="110"/>
        <v>0</v>
      </c>
      <c r="AB205" s="338">
        <f t="shared" si="110"/>
        <v>0</v>
      </c>
      <c r="AC205" s="338">
        <f t="shared" si="110"/>
        <v>0</v>
      </c>
      <c r="AD205" s="338">
        <f t="shared" si="110"/>
        <v>0</v>
      </c>
      <c r="AE205" s="338">
        <f t="shared" si="110"/>
        <v>0</v>
      </c>
      <c r="AF205" s="338">
        <f t="shared" si="110"/>
        <v>0</v>
      </c>
      <c r="AG205" s="338">
        <f t="shared" si="110"/>
        <v>9.106248373460188</v>
      </c>
      <c r="AH205" s="338">
        <f t="shared" si="110"/>
        <v>0</v>
      </c>
      <c r="AI205" s="338">
        <f t="shared" si="110"/>
        <v>0</v>
      </c>
      <c r="AJ205" s="338">
        <f t="shared" si="110"/>
        <v>0</v>
      </c>
      <c r="AK205" s="338">
        <f t="shared" si="110"/>
        <v>0</v>
      </c>
      <c r="AL205" s="338">
        <f t="shared" si="110"/>
        <v>0</v>
      </c>
      <c r="AM205" s="338">
        <f t="shared" si="110"/>
        <v>0</v>
      </c>
      <c r="AN205" s="338">
        <f t="shared" si="110"/>
        <v>0</v>
      </c>
      <c r="AO205" s="338">
        <f t="shared" si="110"/>
        <v>0</v>
      </c>
    </row>
    <row r="206" spans="3:43" x14ac:dyDescent="0.35">
      <c r="C206" s="29"/>
      <c r="D206"/>
      <c r="E206"/>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row>
    <row r="207" spans="3:43" x14ac:dyDescent="0.35">
      <c r="C207" s="29"/>
      <c r="E207" t="s">
        <v>939</v>
      </c>
      <c r="G207" t="s">
        <v>269</v>
      </c>
      <c r="J207" s="338">
        <f t="shared" ref="J207:AO207" si="111">J205*hundred/thousand</f>
        <v>0</v>
      </c>
      <c r="K207" s="338">
        <f t="shared" si="111"/>
        <v>0</v>
      </c>
      <c r="L207" s="338">
        <f t="shared" si="111"/>
        <v>0</v>
      </c>
      <c r="M207" s="338">
        <f t="shared" si="111"/>
        <v>0</v>
      </c>
      <c r="N207" s="338">
        <f t="shared" si="111"/>
        <v>0</v>
      </c>
      <c r="O207" s="338">
        <f t="shared" si="111"/>
        <v>0</v>
      </c>
      <c r="P207" s="338">
        <f t="shared" si="111"/>
        <v>0</v>
      </c>
      <c r="Q207" s="338">
        <f t="shared" si="111"/>
        <v>0</v>
      </c>
      <c r="R207" s="338">
        <f t="shared" si="111"/>
        <v>0</v>
      </c>
      <c r="S207" s="338">
        <f t="shared" si="111"/>
        <v>0</v>
      </c>
      <c r="T207" s="338">
        <f t="shared" si="111"/>
        <v>0</v>
      </c>
      <c r="U207" s="338">
        <f t="shared" si="111"/>
        <v>0</v>
      </c>
      <c r="V207" s="338">
        <f t="shared" si="111"/>
        <v>0</v>
      </c>
      <c r="W207" s="338">
        <f t="shared" si="111"/>
        <v>0</v>
      </c>
      <c r="X207" s="338">
        <f t="shared" si="111"/>
        <v>0</v>
      </c>
      <c r="Y207" s="338">
        <f t="shared" si="111"/>
        <v>0</v>
      </c>
      <c r="Z207" s="338">
        <f t="shared" si="111"/>
        <v>0</v>
      </c>
      <c r="AA207" s="338">
        <f t="shared" si="111"/>
        <v>0</v>
      </c>
      <c r="AB207" s="338">
        <f t="shared" si="111"/>
        <v>0</v>
      </c>
      <c r="AC207" s="338">
        <f t="shared" si="111"/>
        <v>0</v>
      </c>
      <c r="AD207" s="338">
        <f t="shared" si="111"/>
        <v>0</v>
      </c>
      <c r="AE207" s="338">
        <f t="shared" si="111"/>
        <v>0</v>
      </c>
      <c r="AF207" s="338">
        <f t="shared" si="111"/>
        <v>0</v>
      </c>
      <c r="AG207" s="338">
        <f t="shared" si="111"/>
        <v>0.91062483734601884</v>
      </c>
      <c r="AH207" s="338">
        <f t="shared" si="111"/>
        <v>0</v>
      </c>
      <c r="AI207" s="338">
        <f t="shared" si="111"/>
        <v>0</v>
      </c>
      <c r="AJ207" s="338">
        <f t="shared" si="111"/>
        <v>0</v>
      </c>
      <c r="AK207" s="338">
        <f t="shared" si="111"/>
        <v>0</v>
      </c>
      <c r="AL207" s="338">
        <f t="shared" si="111"/>
        <v>0</v>
      </c>
      <c r="AM207" s="338">
        <f t="shared" si="111"/>
        <v>0</v>
      </c>
      <c r="AN207" s="338">
        <f t="shared" si="111"/>
        <v>0</v>
      </c>
      <c r="AO207" s="338">
        <f t="shared" si="111"/>
        <v>0</v>
      </c>
    </row>
    <row r="208" spans="3:43" x14ac:dyDescent="0.35">
      <c r="C208" s="29"/>
      <c r="D208"/>
      <c r="E208"/>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row>
    <row r="209" spans="2:43" x14ac:dyDescent="0.35">
      <c r="B209" s="30" t="s">
        <v>1043</v>
      </c>
      <c r="C209" s="30"/>
      <c r="D209" s="30"/>
      <c r="E209" s="30"/>
      <c r="F209" s="30"/>
      <c r="G209" s="30"/>
      <c r="H209" s="30"/>
      <c r="I209" s="3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105"/>
      <c r="AQ209" s="105"/>
    </row>
    <row r="210" spans="2:43" x14ac:dyDescent="0.35">
      <c r="C210" s="2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row>
    <row r="211" spans="2:43" x14ac:dyDescent="0.35">
      <c r="C211" s="29" t="s">
        <v>1044</v>
      </c>
      <c r="I211" t="s">
        <v>154</v>
      </c>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Q211" t="s">
        <v>1128</v>
      </c>
    </row>
    <row r="212" spans="2:43" x14ac:dyDescent="0.35">
      <c r="C212" s="29"/>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row>
    <row r="213" spans="2:43" x14ac:dyDescent="0.35">
      <c r="C213" s="31" t="str">
        <f ca="1">INDEX('Version control'!$H$34:$H$57,MATCH($A$1,'Version control'!$F$34:$F$57,0),1)&amp;"-I: Floor on negative residual fixed charges"</f>
        <v>Section 116-I: Floor on negative residual fixed charges</v>
      </c>
      <c r="D213" s="31"/>
      <c r="E213" s="31"/>
      <c r="F213" s="31"/>
      <c r="G213" s="31"/>
      <c r="H213" s="31"/>
      <c r="I213" s="31"/>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row>
    <row r="214" spans="2:43" x14ac:dyDescent="0.35">
      <c r="C214" s="29"/>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row>
    <row r="215" spans="2:43" x14ac:dyDescent="0.35">
      <c r="C215" s="29"/>
      <c r="D215" s="29" t="s">
        <v>1045</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row>
    <row r="216" spans="2:43" x14ac:dyDescent="0.35">
      <c r="C216" s="29"/>
      <c r="D216" s="29" t="s">
        <v>1046</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2:43" x14ac:dyDescent="0.35">
      <c r="C217" s="29"/>
      <c r="D217" s="29" t="s">
        <v>1047</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row>
    <row r="218" spans="2:43" x14ac:dyDescent="0.35">
      <c r="C218" s="29"/>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row>
    <row r="219" spans="2:43" x14ac:dyDescent="0.35">
      <c r="C219" s="29"/>
      <c r="E219" s="29" t="s">
        <v>1151</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row>
    <row r="220" spans="2:43" x14ac:dyDescent="0.35">
      <c r="C220" s="29"/>
      <c r="E220" s="29" t="s">
        <v>1048</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row>
    <row r="221" spans="2:43" x14ac:dyDescent="0.35">
      <c r="C221" s="29"/>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2:43" x14ac:dyDescent="0.35">
      <c r="C222" s="29"/>
      <c r="E222" t="s">
        <v>1049</v>
      </c>
      <c r="G222" t="s">
        <v>270</v>
      </c>
      <c r="J222" s="163">
        <f t="array" ref="J222">MIN(IF($J149:$AO149=J149,$J43:$AO43+$J48:$AO48))</f>
        <v>17.164025754608485</v>
      </c>
      <c r="K222" s="163">
        <f t="array" ref="K222">MIN(IF($J149:$AO149=K149,$J43:$AO43+$J48:$AO48))</f>
        <v>0</v>
      </c>
      <c r="L222" s="163">
        <f t="array" ref="L222">MIN(IF($J149:$AO149=L149,$J43:$AO43+$J48:$AO48))</f>
        <v>0</v>
      </c>
      <c r="M222" s="163">
        <f t="array" ref="M222">MIN(IF($J149:$AO149=M149,$J43:$AO43+$J48:$AO48))</f>
        <v>10.370811865458386</v>
      </c>
      <c r="N222" s="163">
        <f t="array" ref="N222">MIN(IF($J149:$AO149=N149,$J43:$AO43+$J48:$AO48))</f>
        <v>10.370811865458386</v>
      </c>
      <c r="O222" s="163">
        <f t="array" ref="O222">MIN(IF($J149:$AO149=O149,$J43:$AO43+$J48:$AO48))</f>
        <v>10.370811865458386</v>
      </c>
      <c r="P222" s="163">
        <f t="array" ref="P222">MIN(IF($J149:$AO149=P149,$J43:$AO43+$J48:$AO48))</f>
        <v>10.370811865458386</v>
      </c>
      <c r="Q222" s="163">
        <f t="array" ref="Q222">MIN(IF($J149:$AO149=Q149,$J43:$AO43+$J48:$AO48))</f>
        <v>0</v>
      </c>
      <c r="R222" s="163">
        <f t="array" ref="R222">MIN(IF($J149:$AO149=R149,$J43:$AO43+$J48:$AO48))</f>
        <v>0</v>
      </c>
      <c r="S222" s="163">
        <f t="array" ref="S222">MIN(IF($J149:$AO149=S149,$J43:$AO43+$J48:$AO48))</f>
        <v>27.173148153138698</v>
      </c>
      <c r="T222" s="163">
        <f t="array" ref="T222">MIN(IF($J149:$AO149=T149,$J43:$AO43+$J48:$AO48))</f>
        <v>27.173148153138698</v>
      </c>
      <c r="U222" s="163">
        <f t="array" ref="U222">MIN(IF($J149:$AO149=U149,$J43:$AO43+$J48:$AO48))</f>
        <v>27.173148153138698</v>
      </c>
      <c r="V222" s="163">
        <f t="array" ref="V222">MIN(IF($J149:$AO149=V149,$J43:$AO43+$J48:$AO48))</f>
        <v>27.173148153138698</v>
      </c>
      <c r="W222" s="163">
        <f t="array" ref="W222">MIN(IF($J149:$AO149=W149,$J43:$AO43+$J48:$AO48))</f>
        <v>0</v>
      </c>
      <c r="X222" s="163">
        <f t="array" ref="X222">MIN(IF($J149:$AO149=X149,$J43:$AO43+$J48:$AO48))</f>
        <v>27.173148153138698</v>
      </c>
      <c r="Y222" s="163">
        <f t="array" ref="Y222">MIN(IF($J149:$AO149=Y149,$J43:$AO43+$J48:$AO48))</f>
        <v>27.173148153138698</v>
      </c>
      <c r="Z222" s="163">
        <f t="array" ref="Z222">MIN(IF($J149:$AO149=Z149,$J43:$AO43+$J48:$AO48))</f>
        <v>27.173148153138698</v>
      </c>
      <c r="AA222" s="163">
        <f t="array" ref="AA222">MIN(IF($J149:$AO149=AA149,$J43:$AO43+$J48:$AO48))</f>
        <v>27.173148153138698</v>
      </c>
      <c r="AB222" s="163">
        <f t="array" ref="AB222">MIN(IF($J149:$AO149=AB149,$J43:$AO43+$J48:$AO48))</f>
        <v>0</v>
      </c>
      <c r="AC222" s="163">
        <f t="array" ref="AC222">MIN(IF($J149:$AO149=AC149,$J43:$AO43+$J48:$AO48))</f>
        <v>322.10905861776524</v>
      </c>
      <c r="AD222" s="163">
        <f t="array" ref="AD222">MIN(IF($J149:$AO149=AD149,$J43:$AO43+$J48:$AO48))</f>
        <v>322.10905861776524</v>
      </c>
      <c r="AE222" s="163">
        <f t="array" ref="AE222">MIN(IF($J149:$AO149=AE149,$J43:$AO43+$J48:$AO48))</f>
        <v>322.10905861776524</v>
      </c>
      <c r="AF222" s="163">
        <f t="array" ref="AF222">MIN(IF($J149:$AO149=AF149,$J43:$AO43+$J48:$AO48))</f>
        <v>322.10905861776524</v>
      </c>
      <c r="AG222" s="163">
        <f t="array" ref="AG222">MIN(IF($J149:$AO149=AG149,$J43:$AO43+$J48:$AO48))</f>
        <v>0</v>
      </c>
      <c r="AH222" s="163">
        <f t="array" ref="AH222">MIN(IF($J149:$AO149=AH149,$J43:$AO43+$J48:$AO48))</f>
        <v>0</v>
      </c>
      <c r="AI222" s="163">
        <f t="array" ref="AI222">MIN(IF($J149:$AO149=AI149,$J43:$AO43+$J48:$AO48))</f>
        <v>0</v>
      </c>
      <c r="AJ222" s="163">
        <f t="array" ref="AJ222">MIN(IF($J149:$AO149=AJ149,$J43:$AO43+$J48:$AO48))</f>
        <v>0</v>
      </c>
      <c r="AK222" s="163">
        <f t="array" ref="AK222">MIN(IF($J149:$AO149=AK149,$J43:$AO43+$J48:$AO48))</f>
        <v>0</v>
      </c>
      <c r="AL222" s="163">
        <f t="array" ref="AL222">MIN(IF($J149:$AO149=AL149,$J43:$AO43+$J48:$AO48))</f>
        <v>0</v>
      </c>
      <c r="AM222" s="163">
        <f t="array" ref="AM222">MIN(IF($J149:$AO149=AM149,$J43:$AO43+$J48:$AO48))</f>
        <v>0</v>
      </c>
      <c r="AN222" s="163">
        <f t="array" ref="AN222">MIN(IF($J149:$AO149=AN149,$J43:$AO43+$J48:$AO48))</f>
        <v>0</v>
      </c>
      <c r="AO222" s="163">
        <f t="array" ref="AO222">MIN(IF($J149:$AO149=AO149,$J43:$AO43+$J48:$AO48))</f>
        <v>0</v>
      </c>
    </row>
    <row r="223" spans="2:43" x14ac:dyDescent="0.35">
      <c r="C223" s="29"/>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row>
    <row r="224" spans="2:43" x14ac:dyDescent="0.35">
      <c r="C224" s="29"/>
      <c r="E224" t="s">
        <v>1050</v>
      </c>
      <c r="G224" t="s">
        <v>270</v>
      </c>
      <c r="J224" s="163">
        <f>MAX(-J222,J198)</f>
        <v>10.344210427331232</v>
      </c>
      <c r="K224" s="163">
        <f t="shared" ref="K224:AO224" si="112">MAX(-K222,K198)</f>
        <v>0</v>
      </c>
      <c r="L224" s="163">
        <f t="shared" si="112"/>
        <v>0</v>
      </c>
      <c r="M224" s="163">
        <f t="shared" si="112"/>
        <v>3.0083304333214778</v>
      </c>
      <c r="N224" s="163">
        <f t="shared" si="112"/>
        <v>17.801731326022786</v>
      </c>
      <c r="O224" s="163">
        <f t="shared" si="112"/>
        <v>43.928327480952348</v>
      </c>
      <c r="P224" s="163">
        <f t="shared" si="112"/>
        <v>143.73395655589948</v>
      </c>
      <c r="Q224" s="163">
        <f t="shared" si="112"/>
        <v>0</v>
      </c>
      <c r="R224" s="163">
        <f t="shared" si="112"/>
        <v>0</v>
      </c>
      <c r="S224" s="163">
        <f t="shared" si="112"/>
        <v>226.16014780458576</v>
      </c>
      <c r="T224" s="163">
        <f t="shared" si="112"/>
        <v>425.85759738303898</v>
      </c>
      <c r="U224" s="163">
        <f t="shared" si="112"/>
        <v>709.75769944682338</v>
      </c>
      <c r="V224" s="163">
        <f t="shared" si="112"/>
        <v>1659.4880185156978</v>
      </c>
      <c r="W224" s="163">
        <f t="shared" si="112"/>
        <v>0</v>
      </c>
      <c r="X224" s="163">
        <f t="shared" si="112"/>
        <v>226.16014780458585</v>
      </c>
      <c r="Y224" s="163">
        <f t="shared" si="112"/>
        <v>425.85759738303909</v>
      </c>
      <c r="Z224" s="163">
        <f t="shared" si="112"/>
        <v>709.75769944682338</v>
      </c>
      <c r="AA224" s="163">
        <f t="shared" si="112"/>
        <v>1659.4880185156978</v>
      </c>
      <c r="AB224" s="163">
        <f t="shared" si="112"/>
        <v>0</v>
      </c>
      <c r="AC224" s="163">
        <f t="shared" si="112"/>
        <v>419.51129595671119</v>
      </c>
      <c r="AD224" s="163">
        <f t="shared" si="112"/>
        <v>3264.5631753355374</v>
      </c>
      <c r="AE224" s="163">
        <f t="shared" si="112"/>
        <v>7021.8064202334481</v>
      </c>
      <c r="AF224" s="163">
        <f t="shared" si="112"/>
        <v>15420.565139157603</v>
      </c>
      <c r="AG224" s="163">
        <f t="shared" si="112"/>
        <v>0</v>
      </c>
      <c r="AH224" s="163">
        <f t="shared" si="112"/>
        <v>0</v>
      </c>
      <c r="AI224" s="163">
        <f t="shared" si="112"/>
        <v>0</v>
      </c>
      <c r="AJ224" s="163">
        <f t="shared" si="112"/>
        <v>0</v>
      </c>
      <c r="AK224" s="163">
        <f t="shared" si="112"/>
        <v>0</v>
      </c>
      <c r="AL224" s="163">
        <f t="shared" si="112"/>
        <v>0</v>
      </c>
      <c r="AM224" s="163">
        <f t="shared" si="112"/>
        <v>0</v>
      </c>
      <c r="AN224" s="163">
        <f t="shared" si="112"/>
        <v>0</v>
      </c>
      <c r="AO224" s="163">
        <f t="shared" si="112"/>
        <v>0</v>
      </c>
    </row>
    <row r="225" spans="3:43" x14ac:dyDescent="0.35">
      <c r="C225" s="29"/>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row>
    <row r="226" spans="3:43" x14ac:dyDescent="0.35">
      <c r="C226" s="29"/>
      <c r="E226" t="s">
        <v>1051</v>
      </c>
      <c r="G226" t="s">
        <v>270</v>
      </c>
      <c r="J226" s="163">
        <f xml:space="preserve"> J198 - J224</f>
        <v>0</v>
      </c>
      <c r="K226" s="163">
        <f t="shared" ref="K226:AO226" si="113" xml:space="preserve"> K198 - K224</f>
        <v>0</v>
      </c>
      <c r="L226" s="163">
        <f t="shared" si="113"/>
        <v>0</v>
      </c>
      <c r="M226" s="163">
        <f t="shared" si="113"/>
        <v>0</v>
      </c>
      <c r="N226" s="163">
        <f t="shared" si="113"/>
        <v>0</v>
      </c>
      <c r="O226" s="163">
        <f t="shared" si="113"/>
        <v>0</v>
      </c>
      <c r="P226" s="163">
        <f t="shared" si="113"/>
        <v>0</v>
      </c>
      <c r="Q226" s="163">
        <f t="shared" si="113"/>
        <v>0</v>
      </c>
      <c r="R226" s="163">
        <f t="shared" si="113"/>
        <v>0</v>
      </c>
      <c r="S226" s="163">
        <f t="shared" si="113"/>
        <v>0</v>
      </c>
      <c r="T226" s="163">
        <f t="shared" si="113"/>
        <v>0</v>
      </c>
      <c r="U226" s="163">
        <f t="shared" si="113"/>
        <v>0</v>
      </c>
      <c r="V226" s="163">
        <f t="shared" si="113"/>
        <v>0</v>
      </c>
      <c r="W226" s="163">
        <f t="shared" si="113"/>
        <v>0</v>
      </c>
      <c r="X226" s="163">
        <f t="shared" si="113"/>
        <v>0</v>
      </c>
      <c r="Y226" s="163">
        <f t="shared" si="113"/>
        <v>0</v>
      </c>
      <c r="Z226" s="163">
        <f t="shared" si="113"/>
        <v>0</v>
      </c>
      <c r="AA226" s="163">
        <f t="shared" si="113"/>
        <v>0</v>
      </c>
      <c r="AB226" s="163">
        <f t="shared" si="113"/>
        <v>0</v>
      </c>
      <c r="AC226" s="163">
        <f t="shared" si="113"/>
        <v>0</v>
      </c>
      <c r="AD226" s="163">
        <f t="shared" si="113"/>
        <v>0</v>
      </c>
      <c r="AE226" s="163">
        <f t="shared" si="113"/>
        <v>0</v>
      </c>
      <c r="AF226" s="163">
        <f t="shared" si="113"/>
        <v>0</v>
      </c>
      <c r="AG226" s="163">
        <f t="shared" si="113"/>
        <v>0</v>
      </c>
      <c r="AH226" s="163">
        <f t="shared" si="113"/>
        <v>0</v>
      </c>
      <c r="AI226" s="163">
        <f t="shared" si="113"/>
        <v>0</v>
      </c>
      <c r="AJ226" s="163">
        <f t="shared" si="113"/>
        <v>0</v>
      </c>
      <c r="AK226" s="163">
        <f t="shared" si="113"/>
        <v>0</v>
      </c>
      <c r="AL226" s="163">
        <f t="shared" si="113"/>
        <v>0</v>
      </c>
      <c r="AM226" s="163">
        <f t="shared" si="113"/>
        <v>0</v>
      </c>
      <c r="AN226" s="163">
        <f t="shared" si="113"/>
        <v>0</v>
      </c>
      <c r="AO226" s="163">
        <f t="shared" si="113"/>
        <v>0</v>
      </c>
    </row>
    <row r="227" spans="3:43" x14ac:dyDescent="0.35">
      <c r="C227" s="29"/>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3:43" x14ac:dyDescent="0.35">
      <c r="C228" s="29"/>
      <c r="E228" t="s">
        <v>1052</v>
      </c>
      <c r="G228" t="s">
        <v>936</v>
      </c>
      <c r="J228" s="163">
        <f t="shared" ref="J228:AO228" si="114">J226 * days_in_year / hundred * J153</f>
        <v>0</v>
      </c>
      <c r="K228" s="163">
        <f t="shared" si="114"/>
        <v>0</v>
      </c>
      <c r="L228" s="163">
        <f t="shared" si="114"/>
        <v>0</v>
      </c>
      <c r="M228" s="163">
        <f t="shared" si="114"/>
        <v>0</v>
      </c>
      <c r="N228" s="163">
        <f t="shared" si="114"/>
        <v>0</v>
      </c>
      <c r="O228" s="163">
        <f t="shared" si="114"/>
        <v>0</v>
      </c>
      <c r="P228" s="163">
        <f t="shared" si="114"/>
        <v>0</v>
      </c>
      <c r="Q228" s="163">
        <f t="shared" si="114"/>
        <v>0</v>
      </c>
      <c r="R228" s="163">
        <f t="shared" si="114"/>
        <v>0</v>
      </c>
      <c r="S228" s="163">
        <f t="shared" si="114"/>
        <v>0</v>
      </c>
      <c r="T228" s="163">
        <f t="shared" si="114"/>
        <v>0</v>
      </c>
      <c r="U228" s="163">
        <f t="shared" si="114"/>
        <v>0</v>
      </c>
      <c r="V228" s="163">
        <f t="shared" si="114"/>
        <v>0</v>
      </c>
      <c r="W228" s="163">
        <f t="shared" si="114"/>
        <v>0</v>
      </c>
      <c r="X228" s="163">
        <f t="shared" si="114"/>
        <v>0</v>
      </c>
      <c r="Y228" s="163">
        <f t="shared" si="114"/>
        <v>0</v>
      </c>
      <c r="Z228" s="163">
        <f t="shared" si="114"/>
        <v>0</v>
      </c>
      <c r="AA228" s="163">
        <f t="shared" si="114"/>
        <v>0</v>
      </c>
      <c r="AB228" s="163">
        <f t="shared" si="114"/>
        <v>0</v>
      </c>
      <c r="AC228" s="163">
        <f t="shared" si="114"/>
        <v>0</v>
      </c>
      <c r="AD228" s="163">
        <f t="shared" si="114"/>
        <v>0</v>
      </c>
      <c r="AE228" s="163">
        <f t="shared" si="114"/>
        <v>0</v>
      </c>
      <c r="AF228" s="163">
        <f t="shared" si="114"/>
        <v>0</v>
      </c>
      <c r="AG228" s="163">
        <f t="shared" si="114"/>
        <v>0</v>
      </c>
      <c r="AH228" s="163">
        <f t="shared" si="114"/>
        <v>0</v>
      </c>
      <c r="AI228" s="163">
        <f t="shared" si="114"/>
        <v>0</v>
      </c>
      <c r="AJ228" s="163">
        <f t="shared" si="114"/>
        <v>0</v>
      </c>
      <c r="AK228" s="163">
        <f t="shared" si="114"/>
        <v>0</v>
      </c>
      <c r="AL228" s="163">
        <f t="shared" si="114"/>
        <v>0</v>
      </c>
      <c r="AM228" s="163">
        <f t="shared" si="114"/>
        <v>0</v>
      </c>
      <c r="AN228" s="163">
        <f t="shared" si="114"/>
        <v>0</v>
      </c>
      <c r="AO228" s="163">
        <f t="shared" si="114"/>
        <v>0</v>
      </c>
    </row>
    <row r="229" spans="3:43" x14ac:dyDescent="0.35">
      <c r="C229" s="29"/>
      <c r="D229"/>
      <c r="E229"/>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row>
    <row r="230" spans="3:43" x14ac:dyDescent="0.35">
      <c r="C230" s="29"/>
      <c r="D230"/>
      <c r="E230" t="s">
        <v>1053</v>
      </c>
      <c r="G230" t="s">
        <v>936</v>
      </c>
      <c r="H230" s="89">
        <f>SUM(J228:AO228)</f>
        <v>0</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row>
    <row r="231" spans="3:43" x14ac:dyDescent="0.35">
      <c r="C231" s="29"/>
      <c r="D231"/>
      <c r="E231"/>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row>
    <row r="232" spans="3:43" x14ac:dyDescent="0.35">
      <c r="C232" s="31" t="str">
        <f ca="1">INDEX('Version control'!$H$34:$H$57,MATCH($A$1,'Version control'!$F$34:$F$57,0),1)&amp;"-J: Ranking unit rate volumes and tariffs"</f>
        <v>Section 116-J: Ranking unit rate volumes and tariffs</v>
      </c>
      <c r="D232" s="31"/>
      <c r="E232" s="31"/>
      <c r="F232" s="31"/>
      <c r="G232" s="31"/>
      <c r="H232" s="31"/>
      <c r="I232" s="31"/>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row>
    <row r="233" spans="3:43" x14ac:dyDescent="0.35">
      <c r="C233" s="29"/>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row>
    <row r="234" spans="3:43" x14ac:dyDescent="0.35">
      <c r="C234" s="29"/>
      <c r="D234" s="29" t="s">
        <v>1054</v>
      </c>
      <c r="I234" t="s">
        <v>154</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Q234" t="s">
        <v>1128</v>
      </c>
    </row>
    <row r="235" spans="3:43" x14ac:dyDescent="0.35">
      <c r="C235" s="29"/>
      <c r="D235" s="29" t="s">
        <v>1055</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row>
    <row r="236" spans="3:43" x14ac:dyDescent="0.35">
      <c r="C236" s="29"/>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3:43" x14ac:dyDescent="0.35">
      <c r="C237" s="29"/>
      <c r="E237" s="410" t="s">
        <v>1056</v>
      </c>
      <c r="G237" t="s">
        <v>912</v>
      </c>
      <c r="J237" s="14" t="b">
        <f>J228&lt;0</f>
        <v>0</v>
      </c>
      <c r="K237" s="14" t="b">
        <f t="shared" ref="K237:AO237" si="115">K228&lt;0</f>
        <v>0</v>
      </c>
      <c r="L237" s="14" t="b">
        <f t="shared" si="115"/>
        <v>0</v>
      </c>
      <c r="M237" s="14" t="b">
        <f t="shared" si="115"/>
        <v>0</v>
      </c>
      <c r="N237" s="14" t="b">
        <f t="shared" si="115"/>
        <v>0</v>
      </c>
      <c r="O237" s="14" t="b">
        <f t="shared" si="115"/>
        <v>0</v>
      </c>
      <c r="P237" s="14" t="b">
        <f t="shared" si="115"/>
        <v>0</v>
      </c>
      <c r="Q237" s="14" t="b">
        <f t="shared" si="115"/>
        <v>0</v>
      </c>
      <c r="R237" s="14" t="b">
        <f t="shared" si="115"/>
        <v>0</v>
      </c>
      <c r="S237" s="14" t="b">
        <f t="shared" si="115"/>
        <v>0</v>
      </c>
      <c r="T237" s="14" t="b">
        <f t="shared" si="115"/>
        <v>0</v>
      </c>
      <c r="U237" s="14" t="b">
        <f t="shared" si="115"/>
        <v>0</v>
      </c>
      <c r="V237" s="14" t="b">
        <f t="shared" si="115"/>
        <v>0</v>
      </c>
      <c r="W237" s="14" t="b">
        <f t="shared" si="115"/>
        <v>0</v>
      </c>
      <c r="X237" s="14" t="b">
        <f t="shared" si="115"/>
        <v>0</v>
      </c>
      <c r="Y237" s="14" t="b">
        <f t="shared" si="115"/>
        <v>0</v>
      </c>
      <c r="Z237" s="14" t="b">
        <f t="shared" si="115"/>
        <v>0</v>
      </c>
      <c r="AA237" s="14" t="b">
        <f t="shared" si="115"/>
        <v>0</v>
      </c>
      <c r="AB237" s="14" t="b">
        <f t="shared" si="115"/>
        <v>0</v>
      </c>
      <c r="AC237" s="14" t="b">
        <f t="shared" si="115"/>
        <v>0</v>
      </c>
      <c r="AD237" s="14" t="b">
        <f t="shared" si="115"/>
        <v>0</v>
      </c>
      <c r="AE237" s="14" t="b">
        <f t="shared" si="115"/>
        <v>0</v>
      </c>
      <c r="AF237" s="14" t="b">
        <f t="shared" si="115"/>
        <v>0</v>
      </c>
      <c r="AG237" s="14" t="b">
        <f t="shared" si="115"/>
        <v>0</v>
      </c>
      <c r="AH237" s="14" t="b">
        <f t="shared" si="115"/>
        <v>0</v>
      </c>
      <c r="AI237" s="14" t="b">
        <f t="shared" si="115"/>
        <v>0</v>
      </c>
      <c r="AJ237" s="14" t="b">
        <f t="shared" si="115"/>
        <v>0</v>
      </c>
      <c r="AK237" s="14" t="b">
        <f t="shared" si="115"/>
        <v>0</v>
      </c>
      <c r="AL237" s="14" t="b">
        <f t="shared" si="115"/>
        <v>0</v>
      </c>
      <c r="AM237" s="14" t="b">
        <f t="shared" si="115"/>
        <v>0</v>
      </c>
      <c r="AN237" s="14" t="b">
        <f t="shared" si="115"/>
        <v>0</v>
      </c>
      <c r="AO237" s="14" t="b">
        <f t="shared" si="115"/>
        <v>0</v>
      </c>
    </row>
    <row r="238" spans="3:43" x14ac:dyDescent="0.35">
      <c r="C238" s="29"/>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row>
    <row r="239" spans="3:43" x14ac:dyDescent="0.35">
      <c r="C239" s="29"/>
      <c r="E239" s="29" t="s">
        <v>1057</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row>
    <row r="240" spans="3:43" x14ac:dyDescent="0.35">
      <c r="C240" s="29"/>
      <c r="E240" s="29" t="s">
        <v>1058</v>
      </c>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spans="3:43" x14ac:dyDescent="0.35">
      <c r="C241" s="29"/>
      <c r="E241" s="29" t="s">
        <v>1059</v>
      </c>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3:43" x14ac:dyDescent="0.35">
      <c r="C242" s="29"/>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3:43" x14ac:dyDescent="0.35">
      <c r="C243" s="29"/>
      <c r="E243" s="32" t="s">
        <v>1060</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spans="3:43" x14ac:dyDescent="0.35">
      <c r="C244" s="29"/>
      <c r="F244" s="23" t="s">
        <v>1061</v>
      </c>
      <c r="G244" s="23" t="s">
        <v>149</v>
      </c>
      <c r="H244" s="325">
        <v>1</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spans="3:43" x14ac:dyDescent="0.35">
      <c r="C245" s="29"/>
      <c r="F245" t="s">
        <v>1062</v>
      </c>
      <c r="G245" t="s">
        <v>149</v>
      </c>
      <c r="H245" s="337">
        <v>2</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spans="3:43" x14ac:dyDescent="0.35">
      <c r="C246" s="29"/>
      <c r="F246" s="37" t="s">
        <v>1063</v>
      </c>
      <c r="G246" s="37" t="s">
        <v>149</v>
      </c>
      <c r="H246" s="326">
        <v>3</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spans="3:43" x14ac:dyDescent="0.35">
      <c r="C247" s="29"/>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spans="3:43" x14ac:dyDescent="0.35">
      <c r="C248" s="29"/>
      <c r="E248" s="32" t="s">
        <v>1064</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spans="3:43" x14ac:dyDescent="0.35">
      <c r="C249" s="29"/>
      <c r="F249" s="23" t="s">
        <v>1061</v>
      </c>
      <c r="G249" s="23" t="s">
        <v>269</v>
      </c>
      <c r="H249" s="23"/>
      <c r="I249" s="23"/>
      <c r="J249" s="411">
        <f t="shared" ref="J249:AO249" si="116">IF(J$237, SMALL(J$40:J$42,$H244), 0)</f>
        <v>0</v>
      </c>
      <c r="K249" s="411">
        <f t="shared" si="116"/>
        <v>0</v>
      </c>
      <c r="L249" s="411">
        <f t="shared" si="116"/>
        <v>0</v>
      </c>
      <c r="M249" s="411">
        <f t="shared" si="116"/>
        <v>0</v>
      </c>
      <c r="N249" s="411">
        <f t="shared" si="116"/>
        <v>0</v>
      </c>
      <c r="O249" s="411">
        <f t="shared" si="116"/>
        <v>0</v>
      </c>
      <c r="P249" s="411">
        <f t="shared" si="116"/>
        <v>0</v>
      </c>
      <c r="Q249" s="411">
        <f t="shared" si="116"/>
        <v>0</v>
      </c>
      <c r="R249" s="411">
        <f t="shared" si="116"/>
        <v>0</v>
      </c>
      <c r="S249" s="411">
        <f t="shared" si="116"/>
        <v>0</v>
      </c>
      <c r="T249" s="411">
        <f t="shared" si="116"/>
        <v>0</v>
      </c>
      <c r="U249" s="411">
        <f t="shared" si="116"/>
        <v>0</v>
      </c>
      <c r="V249" s="411">
        <f t="shared" si="116"/>
        <v>0</v>
      </c>
      <c r="W249" s="411">
        <f t="shared" si="116"/>
        <v>0</v>
      </c>
      <c r="X249" s="411">
        <f t="shared" si="116"/>
        <v>0</v>
      </c>
      <c r="Y249" s="411">
        <f t="shared" si="116"/>
        <v>0</v>
      </c>
      <c r="Z249" s="411">
        <f t="shared" si="116"/>
        <v>0</v>
      </c>
      <c r="AA249" s="411">
        <f t="shared" si="116"/>
        <v>0</v>
      </c>
      <c r="AB249" s="411">
        <f t="shared" si="116"/>
        <v>0</v>
      </c>
      <c r="AC249" s="411">
        <f t="shared" si="116"/>
        <v>0</v>
      </c>
      <c r="AD249" s="411">
        <f t="shared" si="116"/>
        <v>0</v>
      </c>
      <c r="AE249" s="411">
        <f t="shared" si="116"/>
        <v>0</v>
      </c>
      <c r="AF249" s="411">
        <f t="shared" si="116"/>
        <v>0</v>
      </c>
      <c r="AG249" s="411">
        <f t="shared" si="116"/>
        <v>0</v>
      </c>
      <c r="AH249" s="411">
        <f t="shared" si="116"/>
        <v>0</v>
      </c>
      <c r="AI249" s="411">
        <f t="shared" si="116"/>
        <v>0</v>
      </c>
      <c r="AJ249" s="411">
        <f t="shared" si="116"/>
        <v>0</v>
      </c>
      <c r="AK249" s="411">
        <f t="shared" si="116"/>
        <v>0</v>
      </c>
      <c r="AL249" s="411">
        <f t="shared" si="116"/>
        <v>0</v>
      </c>
      <c r="AM249" s="411">
        <f t="shared" si="116"/>
        <v>0</v>
      </c>
      <c r="AN249" s="411">
        <f t="shared" si="116"/>
        <v>0</v>
      </c>
      <c r="AO249" s="411">
        <f t="shared" si="116"/>
        <v>0</v>
      </c>
    </row>
    <row r="250" spans="3:43" x14ac:dyDescent="0.35">
      <c r="C250" s="29"/>
      <c r="F250" t="s">
        <v>1062</v>
      </c>
      <c r="G250" t="s">
        <v>269</v>
      </c>
      <c r="J250" s="338">
        <f t="shared" ref="J250:AO250" si="117">IF(J$237, SMALL(J$40:J$42,$H245), 0)</f>
        <v>0</v>
      </c>
      <c r="K250" s="338">
        <f t="shared" si="117"/>
        <v>0</v>
      </c>
      <c r="L250" s="338">
        <f t="shared" si="117"/>
        <v>0</v>
      </c>
      <c r="M250" s="338">
        <f t="shared" si="117"/>
        <v>0</v>
      </c>
      <c r="N250" s="338">
        <f t="shared" si="117"/>
        <v>0</v>
      </c>
      <c r="O250" s="338">
        <f t="shared" si="117"/>
        <v>0</v>
      </c>
      <c r="P250" s="338">
        <f t="shared" si="117"/>
        <v>0</v>
      </c>
      <c r="Q250" s="338">
        <f t="shared" si="117"/>
        <v>0</v>
      </c>
      <c r="R250" s="338">
        <f t="shared" si="117"/>
        <v>0</v>
      </c>
      <c r="S250" s="338">
        <f t="shared" si="117"/>
        <v>0</v>
      </c>
      <c r="T250" s="338">
        <f t="shared" si="117"/>
        <v>0</v>
      </c>
      <c r="U250" s="338">
        <f t="shared" si="117"/>
        <v>0</v>
      </c>
      <c r="V250" s="338">
        <f t="shared" si="117"/>
        <v>0</v>
      </c>
      <c r="W250" s="338">
        <f t="shared" si="117"/>
        <v>0</v>
      </c>
      <c r="X250" s="338">
        <f t="shared" si="117"/>
        <v>0</v>
      </c>
      <c r="Y250" s="338">
        <f t="shared" si="117"/>
        <v>0</v>
      </c>
      <c r="Z250" s="338">
        <f t="shared" si="117"/>
        <v>0</v>
      </c>
      <c r="AA250" s="338">
        <f t="shared" si="117"/>
        <v>0</v>
      </c>
      <c r="AB250" s="338">
        <f t="shared" si="117"/>
        <v>0</v>
      </c>
      <c r="AC250" s="338">
        <f t="shared" si="117"/>
        <v>0</v>
      </c>
      <c r="AD250" s="338">
        <f t="shared" si="117"/>
        <v>0</v>
      </c>
      <c r="AE250" s="338">
        <f t="shared" si="117"/>
        <v>0</v>
      </c>
      <c r="AF250" s="338">
        <f t="shared" si="117"/>
        <v>0</v>
      </c>
      <c r="AG250" s="338">
        <f t="shared" si="117"/>
        <v>0</v>
      </c>
      <c r="AH250" s="338">
        <f t="shared" si="117"/>
        <v>0</v>
      </c>
      <c r="AI250" s="338">
        <f t="shared" si="117"/>
        <v>0</v>
      </c>
      <c r="AJ250" s="338">
        <f t="shared" si="117"/>
        <v>0</v>
      </c>
      <c r="AK250" s="338">
        <f t="shared" si="117"/>
        <v>0</v>
      </c>
      <c r="AL250" s="338">
        <f t="shared" si="117"/>
        <v>0</v>
      </c>
      <c r="AM250" s="338">
        <f t="shared" si="117"/>
        <v>0</v>
      </c>
      <c r="AN250" s="338">
        <f t="shared" si="117"/>
        <v>0</v>
      </c>
      <c r="AO250" s="338">
        <f t="shared" si="117"/>
        <v>0</v>
      </c>
    </row>
    <row r="251" spans="3:43" x14ac:dyDescent="0.35">
      <c r="C251" s="29"/>
      <c r="F251" s="37" t="s">
        <v>1063</v>
      </c>
      <c r="G251" s="37" t="s">
        <v>269</v>
      </c>
      <c r="H251" s="37"/>
      <c r="I251" s="37"/>
      <c r="J251" s="412">
        <f t="shared" ref="J251:AO251" si="118">IF(J$237, SMALL(J$40:J$42,$H246), 0)</f>
        <v>0</v>
      </c>
      <c r="K251" s="412">
        <f t="shared" si="118"/>
        <v>0</v>
      </c>
      <c r="L251" s="412">
        <f t="shared" si="118"/>
        <v>0</v>
      </c>
      <c r="M251" s="412">
        <f t="shared" si="118"/>
        <v>0</v>
      </c>
      <c r="N251" s="412">
        <f t="shared" si="118"/>
        <v>0</v>
      </c>
      <c r="O251" s="412">
        <f t="shared" si="118"/>
        <v>0</v>
      </c>
      <c r="P251" s="412">
        <f t="shared" si="118"/>
        <v>0</v>
      </c>
      <c r="Q251" s="412">
        <f t="shared" si="118"/>
        <v>0</v>
      </c>
      <c r="R251" s="412">
        <f t="shared" si="118"/>
        <v>0</v>
      </c>
      <c r="S251" s="412">
        <f t="shared" si="118"/>
        <v>0</v>
      </c>
      <c r="T251" s="412">
        <f t="shared" si="118"/>
        <v>0</v>
      </c>
      <c r="U251" s="412">
        <f t="shared" si="118"/>
        <v>0</v>
      </c>
      <c r="V251" s="412">
        <f t="shared" si="118"/>
        <v>0</v>
      </c>
      <c r="W251" s="412">
        <f t="shared" si="118"/>
        <v>0</v>
      </c>
      <c r="X251" s="412">
        <f t="shared" si="118"/>
        <v>0</v>
      </c>
      <c r="Y251" s="412">
        <f t="shared" si="118"/>
        <v>0</v>
      </c>
      <c r="Z251" s="412">
        <f t="shared" si="118"/>
        <v>0</v>
      </c>
      <c r="AA251" s="412">
        <f t="shared" si="118"/>
        <v>0</v>
      </c>
      <c r="AB251" s="412">
        <f t="shared" si="118"/>
        <v>0</v>
      </c>
      <c r="AC251" s="412">
        <f t="shared" si="118"/>
        <v>0</v>
      </c>
      <c r="AD251" s="412">
        <f t="shared" si="118"/>
        <v>0</v>
      </c>
      <c r="AE251" s="412">
        <f t="shared" si="118"/>
        <v>0</v>
      </c>
      <c r="AF251" s="412">
        <f t="shared" si="118"/>
        <v>0</v>
      </c>
      <c r="AG251" s="412">
        <f t="shared" si="118"/>
        <v>0</v>
      </c>
      <c r="AH251" s="412">
        <f t="shared" si="118"/>
        <v>0</v>
      </c>
      <c r="AI251" s="412">
        <f t="shared" si="118"/>
        <v>0</v>
      </c>
      <c r="AJ251" s="412">
        <f t="shared" si="118"/>
        <v>0</v>
      </c>
      <c r="AK251" s="412">
        <f t="shared" si="118"/>
        <v>0</v>
      </c>
      <c r="AL251" s="412">
        <f t="shared" si="118"/>
        <v>0</v>
      </c>
      <c r="AM251" s="412">
        <f t="shared" si="118"/>
        <v>0</v>
      </c>
      <c r="AN251" s="412">
        <f t="shared" si="118"/>
        <v>0</v>
      </c>
      <c r="AO251" s="412">
        <f t="shared" si="118"/>
        <v>0</v>
      </c>
    </row>
    <row r="252" spans="3:43" x14ac:dyDescent="0.35">
      <c r="C252" s="29"/>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spans="3:43" x14ac:dyDescent="0.35">
      <c r="C253" s="29"/>
      <c r="E253" s="2" t="s">
        <v>1065</v>
      </c>
      <c r="I253" t="s">
        <v>154</v>
      </c>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Q253" t="s">
        <v>1156</v>
      </c>
    </row>
    <row r="254" spans="3:43" x14ac:dyDescent="0.35">
      <c r="C254" s="29"/>
      <c r="E254" s="2" t="s">
        <v>1066</v>
      </c>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spans="3:43" x14ac:dyDescent="0.35">
      <c r="C255" s="29"/>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spans="3:43" x14ac:dyDescent="0.35">
      <c r="C256" s="29"/>
      <c r="E256" s="32" t="s">
        <v>1067</v>
      </c>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spans="3:41" x14ac:dyDescent="0.35">
      <c r="C257" s="29"/>
      <c r="F257" s="23" t="s">
        <v>1061</v>
      </c>
      <c r="G257" s="23" t="s">
        <v>269</v>
      </c>
      <c r="H257" s="23"/>
      <c r="I257" s="23"/>
      <c r="J257" s="411">
        <f t="array" ref="J257">MIN(IF($J$149:$AO$149=J$149,$J249:$AO249))</f>
        <v>0</v>
      </c>
      <c r="K257" s="411">
        <f t="array" ref="K257">MIN(IF($J$149:$AO$149=K$149,$J249:$AO249))</f>
        <v>0</v>
      </c>
      <c r="L257" s="411">
        <f t="array" ref="L257">MIN(IF($J$149:$AO$149=L$149,$J249:$AO249))</f>
        <v>0</v>
      </c>
      <c r="M257" s="411">
        <f t="array" ref="M257">MIN(IF($J$149:$AO$149=M$149,$J249:$AO249))</f>
        <v>0</v>
      </c>
      <c r="N257" s="411">
        <f t="array" ref="N257">MIN(IF($J$149:$AO$149=N$149,$J249:$AO249))</f>
        <v>0</v>
      </c>
      <c r="O257" s="411">
        <f t="array" ref="O257">MIN(IF($J$149:$AO$149=O$149,$J249:$AO249))</f>
        <v>0</v>
      </c>
      <c r="P257" s="411">
        <f t="array" ref="P257">MIN(IF($J$149:$AO$149=P$149,$J249:$AO249))</f>
        <v>0</v>
      </c>
      <c r="Q257" s="411">
        <f t="array" ref="Q257">MIN(IF($J$149:$AO$149=Q$149,$J249:$AO249))</f>
        <v>0</v>
      </c>
      <c r="R257" s="411">
        <f t="array" ref="R257">MIN(IF($J$149:$AO$149=R$149,$J249:$AO249))</f>
        <v>0</v>
      </c>
      <c r="S257" s="411">
        <f t="array" ref="S257">MIN(IF($J$149:$AO$149=S$149,$J249:$AO249))</f>
        <v>0</v>
      </c>
      <c r="T257" s="411">
        <f t="array" ref="T257">MIN(IF($J$149:$AO$149=T$149,$J249:$AO249))</f>
        <v>0</v>
      </c>
      <c r="U257" s="411">
        <f t="array" ref="U257">MIN(IF($J$149:$AO$149=U$149,$J249:$AO249))</f>
        <v>0</v>
      </c>
      <c r="V257" s="411">
        <f t="array" ref="V257">MIN(IF($J$149:$AO$149=V$149,$J249:$AO249))</f>
        <v>0</v>
      </c>
      <c r="W257" s="411">
        <f t="array" ref="W257">MIN(IF($J$149:$AO$149=W$149,$J249:$AO249))</f>
        <v>0</v>
      </c>
      <c r="X257" s="411">
        <f t="array" ref="X257">MIN(IF($J$149:$AO$149=X$149,$J249:$AO249))</f>
        <v>0</v>
      </c>
      <c r="Y257" s="411">
        <f t="array" ref="Y257">MIN(IF($J$149:$AO$149=Y$149,$J249:$AO249))</f>
        <v>0</v>
      </c>
      <c r="Z257" s="411">
        <f t="array" ref="Z257">MIN(IF($J$149:$AO$149=Z$149,$J249:$AO249))</f>
        <v>0</v>
      </c>
      <c r="AA257" s="411">
        <f t="array" ref="AA257">MIN(IF($J$149:$AO$149=AA$149,$J249:$AO249))</f>
        <v>0</v>
      </c>
      <c r="AB257" s="411">
        <f t="array" ref="AB257">MIN(IF($J$149:$AO$149=AB$149,$J249:$AO249))</f>
        <v>0</v>
      </c>
      <c r="AC257" s="411">
        <f t="array" ref="AC257">MIN(IF($J$149:$AO$149=AC$149,$J249:$AO249))</f>
        <v>0</v>
      </c>
      <c r="AD257" s="411">
        <f t="array" ref="AD257">MIN(IF($J$149:$AO$149=AD$149,$J249:$AO249))</f>
        <v>0</v>
      </c>
      <c r="AE257" s="411">
        <f t="array" ref="AE257">MIN(IF($J$149:$AO$149=AE$149,$J249:$AO249))</f>
        <v>0</v>
      </c>
      <c r="AF257" s="411">
        <f t="array" ref="AF257">MIN(IF($J$149:$AO$149=AF$149,$J249:$AO249))</f>
        <v>0</v>
      </c>
      <c r="AG257" s="411">
        <f t="array" ref="AG257">MIN(IF($J$149:$AO$149=AG$149,$J249:$AO249))</f>
        <v>0</v>
      </c>
      <c r="AH257" s="411">
        <f t="array" ref="AH257">MIN(IF($J$149:$AO$149=AH$149,$J249:$AO249))</f>
        <v>0</v>
      </c>
      <c r="AI257" s="411">
        <f t="array" ref="AI257">MIN(IF($J$149:$AO$149=AI$149,$J249:$AO249))</f>
        <v>0</v>
      </c>
      <c r="AJ257" s="411">
        <f t="array" ref="AJ257">MIN(IF($J$149:$AO$149=AJ$149,$J249:$AO249))</f>
        <v>0</v>
      </c>
      <c r="AK257" s="411">
        <f t="array" ref="AK257">MIN(IF($J$149:$AO$149=AK$149,$J249:$AO249))</f>
        <v>0</v>
      </c>
      <c r="AL257" s="411">
        <f t="array" ref="AL257">MIN(IF($J$149:$AO$149=AL$149,$J249:$AO249))</f>
        <v>0</v>
      </c>
      <c r="AM257" s="411">
        <f t="array" ref="AM257">MIN(IF($J$149:$AO$149=AM$149,$J249:$AO249))</f>
        <v>0</v>
      </c>
      <c r="AN257" s="411">
        <f t="array" ref="AN257">MIN(IF($J$149:$AO$149=AN$149,$J249:$AO249))</f>
        <v>0</v>
      </c>
      <c r="AO257" s="411">
        <f t="array" ref="AO257">MIN(IF($J$149:$AO$149=AO$149,$J249:$AO249))</f>
        <v>0</v>
      </c>
    </row>
    <row r="258" spans="3:41" x14ac:dyDescent="0.35">
      <c r="C258" s="29"/>
      <c r="F258" t="s">
        <v>1062</v>
      </c>
      <c r="G258" t="s">
        <v>269</v>
      </c>
      <c r="J258" s="338">
        <f t="array" ref="J258">MIN(IF($J$149:$AO$149=J$149,$J250:$AO250))</f>
        <v>0</v>
      </c>
      <c r="K258" s="338">
        <f t="array" ref="K258">MIN(IF($J$149:$AO$149=K$149,$J250:$AO250))</f>
        <v>0</v>
      </c>
      <c r="L258" s="338">
        <f t="array" ref="L258">MIN(IF($J$149:$AO$149=L$149,$J250:$AO250))</f>
        <v>0</v>
      </c>
      <c r="M258" s="338">
        <f t="array" ref="M258">MIN(IF($J$149:$AO$149=M$149,$J250:$AO250))</f>
        <v>0</v>
      </c>
      <c r="N258" s="338">
        <f t="array" ref="N258">MIN(IF($J$149:$AO$149=N$149,$J250:$AO250))</f>
        <v>0</v>
      </c>
      <c r="O258" s="338">
        <f t="array" ref="O258">MIN(IF($J$149:$AO$149=O$149,$J250:$AO250))</f>
        <v>0</v>
      </c>
      <c r="P258" s="338">
        <f t="array" ref="P258">MIN(IF($J$149:$AO$149=P$149,$J250:$AO250))</f>
        <v>0</v>
      </c>
      <c r="Q258" s="338">
        <f t="array" ref="Q258">MIN(IF($J$149:$AO$149=Q$149,$J250:$AO250))</f>
        <v>0</v>
      </c>
      <c r="R258" s="338">
        <f t="array" ref="R258">MIN(IF($J$149:$AO$149=R$149,$J250:$AO250))</f>
        <v>0</v>
      </c>
      <c r="S258" s="338">
        <f t="array" ref="S258">MIN(IF($J$149:$AO$149=S$149,$J250:$AO250))</f>
        <v>0</v>
      </c>
      <c r="T258" s="338">
        <f t="array" ref="T258">MIN(IF($J$149:$AO$149=T$149,$J250:$AO250))</f>
        <v>0</v>
      </c>
      <c r="U258" s="338">
        <f t="array" ref="U258">MIN(IF($J$149:$AO$149=U$149,$J250:$AO250))</f>
        <v>0</v>
      </c>
      <c r="V258" s="338">
        <f t="array" ref="V258">MIN(IF($J$149:$AO$149=V$149,$J250:$AO250))</f>
        <v>0</v>
      </c>
      <c r="W258" s="338">
        <f t="array" ref="W258">MIN(IF($J$149:$AO$149=W$149,$J250:$AO250))</f>
        <v>0</v>
      </c>
      <c r="X258" s="338">
        <f t="array" ref="X258">MIN(IF($J$149:$AO$149=X$149,$J250:$AO250))</f>
        <v>0</v>
      </c>
      <c r="Y258" s="338">
        <f t="array" ref="Y258">MIN(IF($J$149:$AO$149=Y$149,$J250:$AO250))</f>
        <v>0</v>
      </c>
      <c r="Z258" s="338">
        <f t="array" ref="Z258">MIN(IF($J$149:$AO$149=Z$149,$J250:$AO250))</f>
        <v>0</v>
      </c>
      <c r="AA258" s="338">
        <f t="array" ref="AA258">MIN(IF($J$149:$AO$149=AA$149,$J250:$AO250))</f>
        <v>0</v>
      </c>
      <c r="AB258" s="338">
        <f t="array" ref="AB258">MIN(IF($J$149:$AO$149=AB$149,$J250:$AO250))</f>
        <v>0</v>
      </c>
      <c r="AC258" s="338">
        <f t="array" ref="AC258">MIN(IF($J$149:$AO$149=AC$149,$J250:$AO250))</f>
        <v>0</v>
      </c>
      <c r="AD258" s="338">
        <f t="array" ref="AD258">MIN(IF($J$149:$AO$149=AD$149,$J250:$AO250))</f>
        <v>0</v>
      </c>
      <c r="AE258" s="338">
        <f t="array" ref="AE258">MIN(IF($J$149:$AO$149=AE$149,$J250:$AO250))</f>
        <v>0</v>
      </c>
      <c r="AF258" s="338">
        <f t="array" ref="AF258">MIN(IF($J$149:$AO$149=AF$149,$J250:$AO250))</f>
        <v>0</v>
      </c>
      <c r="AG258" s="338">
        <f t="array" ref="AG258">MIN(IF($J$149:$AO$149=AG$149,$J250:$AO250))</f>
        <v>0</v>
      </c>
      <c r="AH258" s="338">
        <f t="array" ref="AH258">MIN(IF($J$149:$AO$149=AH$149,$J250:$AO250))</f>
        <v>0</v>
      </c>
      <c r="AI258" s="338">
        <f t="array" ref="AI258">MIN(IF($J$149:$AO$149=AI$149,$J250:$AO250))</f>
        <v>0</v>
      </c>
      <c r="AJ258" s="338">
        <f t="array" ref="AJ258">MIN(IF($J$149:$AO$149=AJ$149,$J250:$AO250))</f>
        <v>0</v>
      </c>
      <c r="AK258" s="338">
        <f t="array" ref="AK258">MIN(IF($J$149:$AO$149=AK$149,$J250:$AO250))</f>
        <v>0</v>
      </c>
      <c r="AL258" s="338">
        <f t="array" ref="AL258">MIN(IF($J$149:$AO$149=AL$149,$J250:$AO250))</f>
        <v>0</v>
      </c>
      <c r="AM258" s="338">
        <f t="array" ref="AM258">MIN(IF($J$149:$AO$149=AM$149,$J250:$AO250))</f>
        <v>0</v>
      </c>
      <c r="AN258" s="338">
        <f t="array" ref="AN258">MIN(IF($J$149:$AO$149=AN$149,$J250:$AO250))</f>
        <v>0</v>
      </c>
      <c r="AO258" s="338">
        <f t="array" ref="AO258">MIN(IF($J$149:$AO$149=AO$149,$J250:$AO250))</f>
        <v>0</v>
      </c>
    </row>
    <row r="259" spans="3:41" x14ac:dyDescent="0.35">
      <c r="C259" s="29"/>
      <c r="F259" s="37" t="s">
        <v>1063</v>
      </c>
      <c r="G259" s="37" t="s">
        <v>269</v>
      </c>
      <c r="H259" s="37"/>
      <c r="I259" s="37"/>
      <c r="J259" s="412">
        <f t="array" ref="J259">MIN(IF($J$149:$AO$149=J$149,$J251:$AO251))</f>
        <v>0</v>
      </c>
      <c r="K259" s="412">
        <f t="array" ref="K259">MIN(IF($J$149:$AO$149=K$149,$J251:$AO251))</f>
        <v>0</v>
      </c>
      <c r="L259" s="412">
        <f t="array" ref="L259">MIN(IF($J$149:$AO$149=L$149,$J251:$AO251))</f>
        <v>0</v>
      </c>
      <c r="M259" s="412">
        <f t="array" ref="M259">MIN(IF($J$149:$AO$149=M$149,$J251:$AO251))</f>
        <v>0</v>
      </c>
      <c r="N259" s="412">
        <f t="array" ref="N259">MIN(IF($J$149:$AO$149=N$149,$J251:$AO251))</f>
        <v>0</v>
      </c>
      <c r="O259" s="412">
        <f t="array" ref="O259">MIN(IF($J$149:$AO$149=O$149,$J251:$AO251))</f>
        <v>0</v>
      </c>
      <c r="P259" s="412">
        <f t="array" ref="P259">MIN(IF($J$149:$AO$149=P$149,$J251:$AO251))</f>
        <v>0</v>
      </c>
      <c r="Q259" s="412">
        <f t="array" ref="Q259">MIN(IF($J$149:$AO$149=Q$149,$J251:$AO251))</f>
        <v>0</v>
      </c>
      <c r="R259" s="412">
        <f t="array" ref="R259">MIN(IF($J$149:$AO$149=R$149,$J251:$AO251))</f>
        <v>0</v>
      </c>
      <c r="S259" s="412">
        <f t="array" ref="S259">MIN(IF($J$149:$AO$149=S$149,$J251:$AO251))</f>
        <v>0</v>
      </c>
      <c r="T259" s="412">
        <f t="array" ref="T259">MIN(IF($J$149:$AO$149=T$149,$J251:$AO251))</f>
        <v>0</v>
      </c>
      <c r="U259" s="412">
        <f t="array" ref="U259">MIN(IF($J$149:$AO$149=U$149,$J251:$AO251))</f>
        <v>0</v>
      </c>
      <c r="V259" s="412">
        <f t="array" ref="V259">MIN(IF($J$149:$AO$149=V$149,$J251:$AO251))</f>
        <v>0</v>
      </c>
      <c r="W259" s="412">
        <f t="array" ref="W259">MIN(IF($J$149:$AO$149=W$149,$J251:$AO251))</f>
        <v>0</v>
      </c>
      <c r="X259" s="412">
        <f t="array" ref="X259">MIN(IF($J$149:$AO$149=X$149,$J251:$AO251))</f>
        <v>0</v>
      </c>
      <c r="Y259" s="412">
        <f t="array" ref="Y259">MIN(IF($J$149:$AO$149=Y$149,$J251:$AO251))</f>
        <v>0</v>
      </c>
      <c r="Z259" s="412">
        <f t="array" ref="Z259">MIN(IF($J$149:$AO$149=Z$149,$J251:$AO251))</f>
        <v>0</v>
      </c>
      <c r="AA259" s="412">
        <f t="array" ref="AA259">MIN(IF($J$149:$AO$149=AA$149,$J251:$AO251))</f>
        <v>0</v>
      </c>
      <c r="AB259" s="412">
        <f t="array" ref="AB259">MIN(IF($J$149:$AO$149=AB$149,$J251:$AO251))</f>
        <v>0</v>
      </c>
      <c r="AC259" s="412">
        <f t="array" ref="AC259">MIN(IF($J$149:$AO$149=AC$149,$J251:$AO251))</f>
        <v>0</v>
      </c>
      <c r="AD259" s="412">
        <f t="array" ref="AD259">MIN(IF($J$149:$AO$149=AD$149,$J251:$AO251))</f>
        <v>0</v>
      </c>
      <c r="AE259" s="412">
        <f t="array" ref="AE259">MIN(IF($J$149:$AO$149=AE$149,$J251:$AO251))</f>
        <v>0</v>
      </c>
      <c r="AF259" s="412">
        <f t="array" ref="AF259">MIN(IF($J$149:$AO$149=AF$149,$J251:$AO251))</f>
        <v>0</v>
      </c>
      <c r="AG259" s="412">
        <f t="array" ref="AG259">MIN(IF($J$149:$AO$149=AG$149,$J251:$AO251))</f>
        <v>0</v>
      </c>
      <c r="AH259" s="412">
        <f t="array" ref="AH259">MIN(IF($J$149:$AO$149=AH$149,$J251:$AO251))</f>
        <v>0</v>
      </c>
      <c r="AI259" s="412">
        <f t="array" ref="AI259">MIN(IF($J$149:$AO$149=AI$149,$J251:$AO251))</f>
        <v>0</v>
      </c>
      <c r="AJ259" s="412">
        <f t="array" ref="AJ259">MIN(IF($J$149:$AO$149=AJ$149,$J251:$AO251))</f>
        <v>0</v>
      </c>
      <c r="AK259" s="412">
        <f t="array" ref="AK259">MIN(IF($J$149:$AO$149=AK$149,$J251:$AO251))</f>
        <v>0</v>
      </c>
      <c r="AL259" s="412">
        <f t="array" ref="AL259">MIN(IF($J$149:$AO$149=AL$149,$J251:$AO251))</f>
        <v>0</v>
      </c>
      <c r="AM259" s="412">
        <f t="array" ref="AM259">MIN(IF($J$149:$AO$149=AM$149,$J251:$AO251))</f>
        <v>0</v>
      </c>
      <c r="AN259" s="412">
        <f t="array" ref="AN259">MIN(IF($J$149:$AO$149=AN$149,$J251:$AO251))</f>
        <v>0</v>
      </c>
      <c r="AO259" s="412">
        <f t="array" ref="AO259">MIN(IF($J$149:$AO$149=AO$149,$J251:$AO251))</f>
        <v>0</v>
      </c>
    </row>
    <row r="260" spans="3:41" x14ac:dyDescent="0.35">
      <c r="C260" s="29"/>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spans="3:41" x14ac:dyDescent="0.35">
      <c r="C261" s="29"/>
      <c r="E261" s="32" t="s">
        <v>1068</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spans="3:41" x14ac:dyDescent="0.35">
      <c r="C262" s="29"/>
      <c r="F262" s="23" t="s">
        <v>1061</v>
      </c>
      <c r="G262" s="23" t="s">
        <v>269</v>
      </c>
      <c r="H262" s="23"/>
      <c r="I262" s="23"/>
      <c r="J262" s="411">
        <f xml:space="preserve"> - J257</f>
        <v>0</v>
      </c>
      <c r="K262" s="411">
        <f t="shared" ref="K262:AO262" si="119" xml:space="preserve"> - K257</f>
        <v>0</v>
      </c>
      <c r="L262" s="411">
        <f t="shared" si="119"/>
        <v>0</v>
      </c>
      <c r="M262" s="411">
        <f t="shared" si="119"/>
        <v>0</v>
      </c>
      <c r="N262" s="411">
        <f t="shared" si="119"/>
        <v>0</v>
      </c>
      <c r="O262" s="411">
        <f t="shared" si="119"/>
        <v>0</v>
      </c>
      <c r="P262" s="411">
        <f t="shared" si="119"/>
        <v>0</v>
      </c>
      <c r="Q262" s="411">
        <f t="shared" si="119"/>
        <v>0</v>
      </c>
      <c r="R262" s="411">
        <f t="shared" si="119"/>
        <v>0</v>
      </c>
      <c r="S262" s="411">
        <f t="shared" si="119"/>
        <v>0</v>
      </c>
      <c r="T262" s="411">
        <f t="shared" si="119"/>
        <v>0</v>
      </c>
      <c r="U262" s="411">
        <f t="shared" si="119"/>
        <v>0</v>
      </c>
      <c r="V262" s="411">
        <f t="shared" si="119"/>
        <v>0</v>
      </c>
      <c r="W262" s="411">
        <f t="shared" si="119"/>
        <v>0</v>
      </c>
      <c r="X262" s="411">
        <f t="shared" si="119"/>
        <v>0</v>
      </c>
      <c r="Y262" s="411">
        <f t="shared" si="119"/>
        <v>0</v>
      </c>
      <c r="Z262" s="411">
        <f t="shared" si="119"/>
        <v>0</v>
      </c>
      <c r="AA262" s="411">
        <f t="shared" si="119"/>
        <v>0</v>
      </c>
      <c r="AB262" s="411">
        <f t="shared" si="119"/>
        <v>0</v>
      </c>
      <c r="AC262" s="411">
        <f t="shared" si="119"/>
        <v>0</v>
      </c>
      <c r="AD262" s="411">
        <f t="shared" si="119"/>
        <v>0</v>
      </c>
      <c r="AE262" s="411">
        <f t="shared" si="119"/>
        <v>0</v>
      </c>
      <c r="AF262" s="411">
        <f t="shared" si="119"/>
        <v>0</v>
      </c>
      <c r="AG262" s="411">
        <f t="shared" si="119"/>
        <v>0</v>
      </c>
      <c r="AH262" s="411">
        <f t="shared" si="119"/>
        <v>0</v>
      </c>
      <c r="AI262" s="411">
        <f t="shared" si="119"/>
        <v>0</v>
      </c>
      <c r="AJ262" s="411">
        <f t="shared" si="119"/>
        <v>0</v>
      </c>
      <c r="AK262" s="411">
        <f t="shared" si="119"/>
        <v>0</v>
      </c>
      <c r="AL262" s="411">
        <f t="shared" si="119"/>
        <v>0</v>
      </c>
      <c r="AM262" s="411">
        <f t="shared" si="119"/>
        <v>0</v>
      </c>
      <c r="AN262" s="411">
        <f t="shared" si="119"/>
        <v>0</v>
      </c>
      <c r="AO262" s="411">
        <f t="shared" si="119"/>
        <v>0</v>
      </c>
    </row>
    <row r="263" spans="3:41" x14ac:dyDescent="0.35">
      <c r="C263" s="29"/>
      <c r="F263" t="s">
        <v>1062</v>
      </c>
      <c r="G263" t="s">
        <v>269</v>
      </c>
      <c r="J263" s="338">
        <f t="shared" ref="J263:AO264" si="120" xml:space="preserve"> - J258</f>
        <v>0</v>
      </c>
      <c r="K263" s="338">
        <f t="shared" si="120"/>
        <v>0</v>
      </c>
      <c r="L263" s="338">
        <f t="shared" si="120"/>
        <v>0</v>
      </c>
      <c r="M263" s="338">
        <f t="shared" si="120"/>
        <v>0</v>
      </c>
      <c r="N263" s="338">
        <f t="shared" si="120"/>
        <v>0</v>
      </c>
      <c r="O263" s="338">
        <f t="shared" si="120"/>
        <v>0</v>
      </c>
      <c r="P263" s="338">
        <f t="shared" si="120"/>
        <v>0</v>
      </c>
      <c r="Q263" s="338">
        <f t="shared" si="120"/>
        <v>0</v>
      </c>
      <c r="R263" s="338">
        <f t="shared" si="120"/>
        <v>0</v>
      </c>
      <c r="S263" s="338">
        <f t="shared" si="120"/>
        <v>0</v>
      </c>
      <c r="T263" s="338">
        <f t="shared" si="120"/>
        <v>0</v>
      </c>
      <c r="U263" s="338">
        <f t="shared" si="120"/>
        <v>0</v>
      </c>
      <c r="V263" s="338">
        <f t="shared" si="120"/>
        <v>0</v>
      </c>
      <c r="W263" s="338">
        <f t="shared" si="120"/>
        <v>0</v>
      </c>
      <c r="X263" s="338">
        <f t="shared" si="120"/>
        <v>0</v>
      </c>
      <c r="Y263" s="338">
        <f t="shared" si="120"/>
        <v>0</v>
      </c>
      <c r="Z263" s="338">
        <f t="shared" si="120"/>
        <v>0</v>
      </c>
      <c r="AA263" s="338">
        <f t="shared" si="120"/>
        <v>0</v>
      </c>
      <c r="AB263" s="338">
        <f t="shared" si="120"/>
        <v>0</v>
      </c>
      <c r="AC263" s="338">
        <f t="shared" si="120"/>
        <v>0</v>
      </c>
      <c r="AD263" s="338">
        <f t="shared" si="120"/>
        <v>0</v>
      </c>
      <c r="AE263" s="338">
        <f t="shared" si="120"/>
        <v>0</v>
      </c>
      <c r="AF263" s="338">
        <f t="shared" si="120"/>
        <v>0</v>
      </c>
      <c r="AG263" s="338">
        <f t="shared" si="120"/>
        <v>0</v>
      </c>
      <c r="AH263" s="338">
        <f t="shared" si="120"/>
        <v>0</v>
      </c>
      <c r="AI263" s="338">
        <f t="shared" si="120"/>
        <v>0</v>
      </c>
      <c r="AJ263" s="338">
        <f t="shared" si="120"/>
        <v>0</v>
      </c>
      <c r="AK263" s="338">
        <f t="shared" si="120"/>
        <v>0</v>
      </c>
      <c r="AL263" s="338">
        <f t="shared" si="120"/>
        <v>0</v>
      </c>
      <c r="AM263" s="338">
        <f t="shared" si="120"/>
        <v>0</v>
      </c>
      <c r="AN263" s="338">
        <f t="shared" si="120"/>
        <v>0</v>
      </c>
      <c r="AO263" s="338">
        <f t="shared" si="120"/>
        <v>0</v>
      </c>
    </row>
    <row r="264" spans="3:41" x14ac:dyDescent="0.35">
      <c r="C264" s="29"/>
      <c r="F264" s="37" t="s">
        <v>1063</v>
      </c>
      <c r="G264" s="37" t="s">
        <v>269</v>
      </c>
      <c r="H264" s="37"/>
      <c r="I264" s="37"/>
      <c r="J264" s="412">
        <f t="shared" si="120"/>
        <v>0</v>
      </c>
      <c r="K264" s="412">
        <f t="shared" si="120"/>
        <v>0</v>
      </c>
      <c r="L264" s="412">
        <f t="shared" si="120"/>
        <v>0</v>
      </c>
      <c r="M264" s="412">
        <f t="shared" si="120"/>
        <v>0</v>
      </c>
      <c r="N264" s="412">
        <f t="shared" si="120"/>
        <v>0</v>
      </c>
      <c r="O264" s="412">
        <f t="shared" si="120"/>
        <v>0</v>
      </c>
      <c r="P264" s="412">
        <f t="shared" si="120"/>
        <v>0</v>
      </c>
      <c r="Q264" s="412">
        <f t="shared" si="120"/>
        <v>0</v>
      </c>
      <c r="R264" s="412">
        <f t="shared" si="120"/>
        <v>0</v>
      </c>
      <c r="S264" s="412">
        <f t="shared" si="120"/>
        <v>0</v>
      </c>
      <c r="T264" s="412">
        <f t="shared" si="120"/>
        <v>0</v>
      </c>
      <c r="U264" s="412">
        <f t="shared" si="120"/>
        <v>0</v>
      </c>
      <c r="V264" s="412">
        <f t="shared" si="120"/>
        <v>0</v>
      </c>
      <c r="W264" s="412">
        <f t="shared" si="120"/>
        <v>0</v>
      </c>
      <c r="X264" s="412">
        <f t="shared" si="120"/>
        <v>0</v>
      </c>
      <c r="Y264" s="412">
        <f t="shared" si="120"/>
        <v>0</v>
      </c>
      <c r="Z264" s="412">
        <f t="shared" si="120"/>
        <v>0</v>
      </c>
      <c r="AA264" s="412">
        <f t="shared" si="120"/>
        <v>0</v>
      </c>
      <c r="AB264" s="412">
        <f t="shared" si="120"/>
        <v>0</v>
      </c>
      <c r="AC264" s="412">
        <f t="shared" si="120"/>
        <v>0</v>
      </c>
      <c r="AD264" s="412">
        <f t="shared" si="120"/>
        <v>0</v>
      </c>
      <c r="AE264" s="412">
        <f t="shared" si="120"/>
        <v>0</v>
      </c>
      <c r="AF264" s="412">
        <f t="shared" si="120"/>
        <v>0</v>
      </c>
      <c r="AG264" s="412">
        <f t="shared" si="120"/>
        <v>0</v>
      </c>
      <c r="AH264" s="412">
        <f t="shared" si="120"/>
        <v>0</v>
      </c>
      <c r="AI264" s="412">
        <f t="shared" si="120"/>
        <v>0</v>
      </c>
      <c r="AJ264" s="412">
        <f t="shared" si="120"/>
        <v>0</v>
      </c>
      <c r="AK264" s="412">
        <f t="shared" si="120"/>
        <v>0</v>
      </c>
      <c r="AL264" s="412">
        <f t="shared" si="120"/>
        <v>0</v>
      </c>
      <c r="AM264" s="412">
        <f t="shared" si="120"/>
        <v>0</v>
      </c>
      <c r="AN264" s="412">
        <f t="shared" si="120"/>
        <v>0</v>
      </c>
      <c r="AO264" s="412">
        <f t="shared" si="120"/>
        <v>0</v>
      </c>
    </row>
    <row r="265" spans="3:41" x14ac:dyDescent="0.35">
      <c r="C265" s="29"/>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3:41" x14ac:dyDescent="0.35">
      <c r="C266" s="29"/>
      <c r="E266" s="32" t="s">
        <v>1069</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spans="3:41" x14ac:dyDescent="0.35">
      <c r="C267" s="29"/>
      <c r="F267" s="23" t="s">
        <v>1061</v>
      </c>
      <c r="G267" s="23" t="s">
        <v>149</v>
      </c>
      <c r="H267" s="23"/>
      <c r="I267" s="23"/>
      <c r="J267" s="361">
        <f t="shared" ref="J267:AO267" si="121">IF(J$237,MATCH(J249,J$40:J$42,0), 0)</f>
        <v>0</v>
      </c>
      <c r="K267" s="361">
        <f t="shared" si="121"/>
        <v>0</v>
      </c>
      <c r="L267" s="361">
        <f t="shared" si="121"/>
        <v>0</v>
      </c>
      <c r="M267" s="361">
        <f t="shared" si="121"/>
        <v>0</v>
      </c>
      <c r="N267" s="361">
        <f t="shared" si="121"/>
        <v>0</v>
      </c>
      <c r="O267" s="361">
        <f t="shared" si="121"/>
        <v>0</v>
      </c>
      <c r="P267" s="361">
        <f t="shared" si="121"/>
        <v>0</v>
      </c>
      <c r="Q267" s="361">
        <f t="shared" si="121"/>
        <v>0</v>
      </c>
      <c r="R267" s="361">
        <f t="shared" si="121"/>
        <v>0</v>
      </c>
      <c r="S267" s="361">
        <f t="shared" si="121"/>
        <v>0</v>
      </c>
      <c r="T267" s="361">
        <f t="shared" si="121"/>
        <v>0</v>
      </c>
      <c r="U267" s="361">
        <f t="shared" si="121"/>
        <v>0</v>
      </c>
      <c r="V267" s="361">
        <f t="shared" si="121"/>
        <v>0</v>
      </c>
      <c r="W267" s="361">
        <f t="shared" si="121"/>
        <v>0</v>
      </c>
      <c r="X267" s="361">
        <f t="shared" si="121"/>
        <v>0</v>
      </c>
      <c r="Y267" s="361">
        <f t="shared" si="121"/>
        <v>0</v>
      </c>
      <c r="Z267" s="361">
        <f t="shared" si="121"/>
        <v>0</v>
      </c>
      <c r="AA267" s="361">
        <f t="shared" si="121"/>
        <v>0</v>
      </c>
      <c r="AB267" s="361">
        <f t="shared" si="121"/>
        <v>0</v>
      </c>
      <c r="AC267" s="361">
        <f t="shared" si="121"/>
        <v>0</v>
      </c>
      <c r="AD267" s="361">
        <f t="shared" si="121"/>
        <v>0</v>
      </c>
      <c r="AE267" s="361">
        <f t="shared" si="121"/>
        <v>0</v>
      </c>
      <c r="AF267" s="361">
        <f t="shared" si="121"/>
        <v>0</v>
      </c>
      <c r="AG267" s="361">
        <f t="shared" si="121"/>
        <v>0</v>
      </c>
      <c r="AH267" s="361">
        <f t="shared" si="121"/>
        <v>0</v>
      </c>
      <c r="AI267" s="361">
        <f t="shared" si="121"/>
        <v>0</v>
      </c>
      <c r="AJ267" s="361">
        <f t="shared" si="121"/>
        <v>0</v>
      </c>
      <c r="AK267" s="361">
        <f t="shared" si="121"/>
        <v>0</v>
      </c>
      <c r="AL267" s="361">
        <f t="shared" si="121"/>
        <v>0</v>
      </c>
      <c r="AM267" s="361">
        <f t="shared" si="121"/>
        <v>0</v>
      </c>
      <c r="AN267" s="361">
        <f t="shared" si="121"/>
        <v>0</v>
      </c>
      <c r="AO267" s="361">
        <f t="shared" si="121"/>
        <v>0</v>
      </c>
    </row>
    <row r="268" spans="3:41" x14ac:dyDescent="0.35">
      <c r="C268" s="29"/>
      <c r="F268" t="s">
        <v>1062</v>
      </c>
      <c r="G268" t="s">
        <v>149</v>
      </c>
      <c r="J268" s="334">
        <f t="shared" ref="J268:AO268" si="122">IF(J$237,MATCH(J250,J$40:J$42,0), 0)</f>
        <v>0</v>
      </c>
      <c r="K268" s="334">
        <f t="shared" si="122"/>
        <v>0</v>
      </c>
      <c r="L268" s="334">
        <f t="shared" si="122"/>
        <v>0</v>
      </c>
      <c r="M268" s="334">
        <f t="shared" si="122"/>
        <v>0</v>
      </c>
      <c r="N268" s="334">
        <f t="shared" si="122"/>
        <v>0</v>
      </c>
      <c r="O268" s="334">
        <f t="shared" si="122"/>
        <v>0</v>
      </c>
      <c r="P268" s="334">
        <f t="shared" si="122"/>
        <v>0</v>
      </c>
      <c r="Q268" s="334">
        <f t="shared" si="122"/>
        <v>0</v>
      </c>
      <c r="R268" s="334">
        <f t="shared" si="122"/>
        <v>0</v>
      </c>
      <c r="S268" s="334">
        <f t="shared" si="122"/>
        <v>0</v>
      </c>
      <c r="T268" s="334">
        <f t="shared" si="122"/>
        <v>0</v>
      </c>
      <c r="U268" s="334">
        <f t="shared" si="122"/>
        <v>0</v>
      </c>
      <c r="V268" s="334">
        <f t="shared" si="122"/>
        <v>0</v>
      </c>
      <c r="W268" s="334">
        <f t="shared" si="122"/>
        <v>0</v>
      </c>
      <c r="X268" s="334">
        <f t="shared" si="122"/>
        <v>0</v>
      </c>
      <c r="Y268" s="334">
        <f t="shared" si="122"/>
        <v>0</v>
      </c>
      <c r="Z268" s="334">
        <f t="shared" si="122"/>
        <v>0</v>
      </c>
      <c r="AA268" s="334">
        <f t="shared" si="122"/>
        <v>0</v>
      </c>
      <c r="AB268" s="334">
        <f t="shared" si="122"/>
        <v>0</v>
      </c>
      <c r="AC268" s="334">
        <f t="shared" si="122"/>
        <v>0</v>
      </c>
      <c r="AD268" s="334">
        <f t="shared" si="122"/>
        <v>0</v>
      </c>
      <c r="AE268" s="334">
        <f t="shared" si="122"/>
        <v>0</v>
      </c>
      <c r="AF268" s="334">
        <f t="shared" si="122"/>
        <v>0</v>
      </c>
      <c r="AG268" s="334">
        <f t="shared" si="122"/>
        <v>0</v>
      </c>
      <c r="AH268" s="334">
        <f t="shared" si="122"/>
        <v>0</v>
      </c>
      <c r="AI268" s="334">
        <f t="shared" si="122"/>
        <v>0</v>
      </c>
      <c r="AJ268" s="334">
        <f t="shared" si="122"/>
        <v>0</v>
      </c>
      <c r="AK268" s="334">
        <f t="shared" si="122"/>
        <v>0</v>
      </c>
      <c r="AL268" s="334">
        <f t="shared" si="122"/>
        <v>0</v>
      </c>
      <c r="AM268" s="334">
        <f t="shared" si="122"/>
        <v>0</v>
      </c>
      <c r="AN268" s="334">
        <f t="shared" si="122"/>
        <v>0</v>
      </c>
      <c r="AO268" s="334">
        <f t="shared" si="122"/>
        <v>0</v>
      </c>
    </row>
    <row r="269" spans="3:41" x14ac:dyDescent="0.35">
      <c r="C269" s="29"/>
      <c r="F269" s="37" t="s">
        <v>1063</v>
      </c>
      <c r="G269" s="37" t="s">
        <v>149</v>
      </c>
      <c r="H269" s="37"/>
      <c r="I269" s="37"/>
      <c r="J269" s="363">
        <f t="shared" ref="J269:AO269" si="123">IF(J$237,MATCH(J251,J$40:J$42,0), 0)</f>
        <v>0</v>
      </c>
      <c r="K269" s="363">
        <f t="shared" si="123"/>
        <v>0</v>
      </c>
      <c r="L269" s="363">
        <f t="shared" si="123"/>
        <v>0</v>
      </c>
      <c r="M269" s="363">
        <f t="shared" si="123"/>
        <v>0</v>
      </c>
      <c r="N269" s="363">
        <f t="shared" si="123"/>
        <v>0</v>
      </c>
      <c r="O269" s="363">
        <f t="shared" si="123"/>
        <v>0</v>
      </c>
      <c r="P269" s="363">
        <f t="shared" si="123"/>
        <v>0</v>
      </c>
      <c r="Q269" s="363">
        <f t="shared" si="123"/>
        <v>0</v>
      </c>
      <c r="R269" s="363">
        <f t="shared" si="123"/>
        <v>0</v>
      </c>
      <c r="S269" s="363">
        <f t="shared" si="123"/>
        <v>0</v>
      </c>
      <c r="T269" s="363">
        <f t="shared" si="123"/>
        <v>0</v>
      </c>
      <c r="U269" s="363">
        <f t="shared" si="123"/>
        <v>0</v>
      </c>
      <c r="V269" s="363">
        <f t="shared" si="123"/>
        <v>0</v>
      </c>
      <c r="W269" s="363">
        <f t="shared" si="123"/>
        <v>0</v>
      </c>
      <c r="X269" s="363">
        <f t="shared" si="123"/>
        <v>0</v>
      </c>
      <c r="Y269" s="363">
        <f t="shared" si="123"/>
        <v>0</v>
      </c>
      <c r="Z269" s="363">
        <f t="shared" si="123"/>
        <v>0</v>
      </c>
      <c r="AA269" s="363">
        <f t="shared" si="123"/>
        <v>0</v>
      </c>
      <c r="AB269" s="363">
        <f t="shared" si="123"/>
        <v>0</v>
      </c>
      <c r="AC269" s="363">
        <f t="shared" si="123"/>
        <v>0</v>
      </c>
      <c r="AD269" s="363">
        <f t="shared" si="123"/>
        <v>0</v>
      </c>
      <c r="AE269" s="363">
        <f t="shared" si="123"/>
        <v>0</v>
      </c>
      <c r="AF269" s="363">
        <f t="shared" si="123"/>
        <v>0</v>
      </c>
      <c r="AG269" s="363">
        <f t="shared" si="123"/>
        <v>0</v>
      </c>
      <c r="AH269" s="363">
        <f t="shared" si="123"/>
        <v>0</v>
      </c>
      <c r="AI269" s="363">
        <f t="shared" si="123"/>
        <v>0</v>
      </c>
      <c r="AJ269" s="363">
        <f t="shared" si="123"/>
        <v>0</v>
      </c>
      <c r="AK269" s="363">
        <f t="shared" si="123"/>
        <v>0</v>
      </c>
      <c r="AL269" s="363">
        <f t="shared" si="123"/>
        <v>0</v>
      </c>
      <c r="AM269" s="363">
        <f t="shared" si="123"/>
        <v>0</v>
      </c>
      <c r="AN269" s="363">
        <f t="shared" si="123"/>
        <v>0</v>
      </c>
      <c r="AO269" s="363">
        <f t="shared" si="123"/>
        <v>0</v>
      </c>
    </row>
    <row r="270" spans="3:41" x14ac:dyDescent="0.35">
      <c r="C270" s="29"/>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3:41" x14ac:dyDescent="0.35">
      <c r="C271" s="29"/>
      <c r="E271" s="32" t="s">
        <v>1070</v>
      </c>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spans="3:41" x14ac:dyDescent="0.35">
      <c r="C272" s="29"/>
      <c r="F272" s="23" t="s">
        <v>1061</v>
      </c>
      <c r="G272" s="23" t="s">
        <v>207</v>
      </c>
      <c r="H272" s="23"/>
      <c r="I272" s="23"/>
      <c r="J272" s="413">
        <f t="shared" ref="J272:AO272" si="124">IF(J$237, INDEX(J$53:J$55,J267), 0)</f>
        <v>0</v>
      </c>
      <c r="K272" s="413">
        <f t="shared" si="124"/>
        <v>0</v>
      </c>
      <c r="L272" s="413">
        <f t="shared" si="124"/>
        <v>0</v>
      </c>
      <c r="M272" s="413">
        <f t="shared" si="124"/>
        <v>0</v>
      </c>
      <c r="N272" s="413">
        <f t="shared" si="124"/>
        <v>0</v>
      </c>
      <c r="O272" s="413">
        <f t="shared" si="124"/>
        <v>0</v>
      </c>
      <c r="P272" s="413">
        <f t="shared" si="124"/>
        <v>0</v>
      </c>
      <c r="Q272" s="413">
        <f t="shared" si="124"/>
        <v>0</v>
      </c>
      <c r="R272" s="413">
        <f t="shared" si="124"/>
        <v>0</v>
      </c>
      <c r="S272" s="413">
        <f t="shared" si="124"/>
        <v>0</v>
      </c>
      <c r="T272" s="413">
        <f t="shared" si="124"/>
        <v>0</v>
      </c>
      <c r="U272" s="413">
        <f t="shared" si="124"/>
        <v>0</v>
      </c>
      <c r="V272" s="413">
        <f t="shared" si="124"/>
        <v>0</v>
      </c>
      <c r="W272" s="413">
        <f t="shared" si="124"/>
        <v>0</v>
      </c>
      <c r="X272" s="413">
        <f t="shared" si="124"/>
        <v>0</v>
      </c>
      <c r="Y272" s="413">
        <f t="shared" si="124"/>
        <v>0</v>
      </c>
      <c r="Z272" s="413">
        <f t="shared" si="124"/>
        <v>0</v>
      </c>
      <c r="AA272" s="413">
        <f t="shared" si="124"/>
        <v>0</v>
      </c>
      <c r="AB272" s="413">
        <f t="shared" si="124"/>
        <v>0</v>
      </c>
      <c r="AC272" s="413">
        <f t="shared" si="124"/>
        <v>0</v>
      </c>
      <c r="AD272" s="413">
        <f t="shared" si="124"/>
        <v>0</v>
      </c>
      <c r="AE272" s="413">
        <f t="shared" si="124"/>
        <v>0</v>
      </c>
      <c r="AF272" s="413">
        <f t="shared" si="124"/>
        <v>0</v>
      </c>
      <c r="AG272" s="413">
        <f t="shared" si="124"/>
        <v>0</v>
      </c>
      <c r="AH272" s="413">
        <f t="shared" si="124"/>
        <v>0</v>
      </c>
      <c r="AI272" s="413">
        <f t="shared" si="124"/>
        <v>0</v>
      </c>
      <c r="AJ272" s="413">
        <f t="shared" si="124"/>
        <v>0</v>
      </c>
      <c r="AK272" s="413">
        <f t="shared" si="124"/>
        <v>0</v>
      </c>
      <c r="AL272" s="413">
        <f t="shared" si="124"/>
        <v>0</v>
      </c>
      <c r="AM272" s="413">
        <f t="shared" si="124"/>
        <v>0</v>
      </c>
      <c r="AN272" s="413">
        <f t="shared" si="124"/>
        <v>0</v>
      </c>
      <c r="AO272" s="413">
        <f t="shared" si="124"/>
        <v>0</v>
      </c>
    </row>
    <row r="273" spans="3:43" x14ac:dyDescent="0.35">
      <c r="C273" s="29"/>
      <c r="F273" t="s">
        <v>1062</v>
      </c>
      <c r="G273" t="s">
        <v>207</v>
      </c>
      <c r="J273" s="163">
        <f t="shared" ref="J273:AO273" si="125">IF(J$237, INDEX(J$53:J$55,J268), 0)</f>
        <v>0</v>
      </c>
      <c r="K273" s="163">
        <f t="shared" si="125"/>
        <v>0</v>
      </c>
      <c r="L273" s="163">
        <f t="shared" si="125"/>
        <v>0</v>
      </c>
      <c r="M273" s="163">
        <f t="shared" si="125"/>
        <v>0</v>
      </c>
      <c r="N273" s="163">
        <f t="shared" si="125"/>
        <v>0</v>
      </c>
      <c r="O273" s="163">
        <f t="shared" si="125"/>
        <v>0</v>
      </c>
      <c r="P273" s="163">
        <f t="shared" si="125"/>
        <v>0</v>
      </c>
      <c r="Q273" s="163">
        <f t="shared" si="125"/>
        <v>0</v>
      </c>
      <c r="R273" s="163">
        <f t="shared" si="125"/>
        <v>0</v>
      </c>
      <c r="S273" s="163">
        <f t="shared" si="125"/>
        <v>0</v>
      </c>
      <c r="T273" s="163">
        <f t="shared" si="125"/>
        <v>0</v>
      </c>
      <c r="U273" s="163">
        <f t="shared" si="125"/>
        <v>0</v>
      </c>
      <c r="V273" s="163">
        <f t="shared" si="125"/>
        <v>0</v>
      </c>
      <c r="W273" s="163">
        <f t="shared" si="125"/>
        <v>0</v>
      </c>
      <c r="X273" s="163">
        <f t="shared" si="125"/>
        <v>0</v>
      </c>
      <c r="Y273" s="163">
        <f t="shared" si="125"/>
        <v>0</v>
      </c>
      <c r="Z273" s="163">
        <f t="shared" si="125"/>
        <v>0</v>
      </c>
      <c r="AA273" s="163">
        <f t="shared" si="125"/>
        <v>0</v>
      </c>
      <c r="AB273" s="163">
        <f t="shared" si="125"/>
        <v>0</v>
      </c>
      <c r="AC273" s="163">
        <f t="shared" si="125"/>
        <v>0</v>
      </c>
      <c r="AD273" s="163">
        <f t="shared" si="125"/>
        <v>0</v>
      </c>
      <c r="AE273" s="163">
        <f t="shared" si="125"/>
        <v>0</v>
      </c>
      <c r="AF273" s="163">
        <f t="shared" si="125"/>
        <v>0</v>
      </c>
      <c r="AG273" s="163">
        <f t="shared" si="125"/>
        <v>0</v>
      </c>
      <c r="AH273" s="163">
        <f t="shared" si="125"/>
        <v>0</v>
      </c>
      <c r="AI273" s="163">
        <f t="shared" si="125"/>
        <v>0</v>
      </c>
      <c r="AJ273" s="163">
        <f t="shared" si="125"/>
        <v>0</v>
      </c>
      <c r="AK273" s="163">
        <f t="shared" si="125"/>
        <v>0</v>
      </c>
      <c r="AL273" s="163">
        <f t="shared" si="125"/>
        <v>0</v>
      </c>
      <c r="AM273" s="163">
        <f t="shared" si="125"/>
        <v>0</v>
      </c>
      <c r="AN273" s="163">
        <f t="shared" si="125"/>
        <v>0</v>
      </c>
      <c r="AO273" s="163">
        <f t="shared" si="125"/>
        <v>0</v>
      </c>
    </row>
    <row r="274" spans="3:43" x14ac:dyDescent="0.35">
      <c r="C274" s="29"/>
      <c r="F274" s="37" t="s">
        <v>1063</v>
      </c>
      <c r="G274" s="37" t="s">
        <v>207</v>
      </c>
      <c r="H274" s="37"/>
      <c r="I274" s="37"/>
      <c r="J274" s="414">
        <f t="shared" ref="J274:AO274" si="126">IF(J$237, INDEX(J$53:J$55,J269), 0)</f>
        <v>0</v>
      </c>
      <c r="K274" s="414">
        <f t="shared" si="126"/>
        <v>0</v>
      </c>
      <c r="L274" s="414">
        <f t="shared" si="126"/>
        <v>0</v>
      </c>
      <c r="M274" s="414">
        <f t="shared" si="126"/>
        <v>0</v>
      </c>
      <c r="N274" s="414">
        <f t="shared" si="126"/>
        <v>0</v>
      </c>
      <c r="O274" s="414">
        <f t="shared" si="126"/>
        <v>0</v>
      </c>
      <c r="P274" s="414">
        <f t="shared" si="126"/>
        <v>0</v>
      </c>
      <c r="Q274" s="414">
        <f t="shared" si="126"/>
        <v>0</v>
      </c>
      <c r="R274" s="414">
        <f t="shared" si="126"/>
        <v>0</v>
      </c>
      <c r="S274" s="414">
        <f t="shared" si="126"/>
        <v>0</v>
      </c>
      <c r="T274" s="414">
        <f t="shared" si="126"/>
        <v>0</v>
      </c>
      <c r="U274" s="414">
        <f t="shared" si="126"/>
        <v>0</v>
      </c>
      <c r="V274" s="414">
        <f t="shared" si="126"/>
        <v>0</v>
      </c>
      <c r="W274" s="414">
        <f t="shared" si="126"/>
        <v>0</v>
      </c>
      <c r="X274" s="414">
        <f t="shared" si="126"/>
        <v>0</v>
      </c>
      <c r="Y274" s="414">
        <f t="shared" si="126"/>
        <v>0</v>
      </c>
      <c r="Z274" s="414">
        <f t="shared" si="126"/>
        <v>0</v>
      </c>
      <c r="AA274" s="414">
        <f t="shared" si="126"/>
        <v>0</v>
      </c>
      <c r="AB274" s="414">
        <f t="shared" si="126"/>
        <v>0</v>
      </c>
      <c r="AC274" s="414">
        <f t="shared" si="126"/>
        <v>0</v>
      </c>
      <c r="AD274" s="414">
        <f t="shared" si="126"/>
        <v>0</v>
      </c>
      <c r="AE274" s="414">
        <f t="shared" si="126"/>
        <v>0</v>
      </c>
      <c r="AF274" s="414">
        <f t="shared" si="126"/>
        <v>0</v>
      </c>
      <c r="AG274" s="414">
        <f t="shared" si="126"/>
        <v>0</v>
      </c>
      <c r="AH274" s="414">
        <f t="shared" si="126"/>
        <v>0</v>
      </c>
      <c r="AI274" s="414">
        <f t="shared" si="126"/>
        <v>0</v>
      </c>
      <c r="AJ274" s="414">
        <f t="shared" si="126"/>
        <v>0</v>
      </c>
      <c r="AK274" s="414">
        <f t="shared" si="126"/>
        <v>0</v>
      </c>
      <c r="AL274" s="414">
        <f t="shared" si="126"/>
        <v>0</v>
      </c>
      <c r="AM274" s="414">
        <f t="shared" si="126"/>
        <v>0</v>
      </c>
      <c r="AN274" s="414">
        <f t="shared" si="126"/>
        <v>0</v>
      </c>
      <c r="AO274" s="414">
        <f t="shared" si="126"/>
        <v>0</v>
      </c>
    </row>
    <row r="275" spans="3:43" x14ac:dyDescent="0.35">
      <c r="C275" s="29"/>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row>
    <row r="276" spans="3:43" x14ac:dyDescent="0.35">
      <c r="C276" s="29"/>
      <c r="E276" s="32" t="s">
        <v>1071</v>
      </c>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spans="3:43" x14ac:dyDescent="0.35">
      <c r="C277" s="29"/>
      <c r="F277" s="23" t="s">
        <v>1061</v>
      </c>
      <c r="G277" s="23" t="s">
        <v>207</v>
      </c>
      <c r="H277" s="23"/>
      <c r="I277" s="23"/>
      <c r="J277" s="413">
        <f t="shared" ref="J277:AO279" si="127">SUMIF($J$149:$AO$149,J$149,$J272:$AO272)</f>
        <v>0</v>
      </c>
      <c r="K277" s="413">
        <f t="shared" si="127"/>
        <v>0</v>
      </c>
      <c r="L277" s="413">
        <f t="shared" si="127"/>
        <v>0</v>
      </c>
      <c r="M277" s="413">
        <f t="shared" si="127"/>
        <v>0</v>
      </c>
      <c r="N277" s="413">
        <f t="shared" si="127"/>
        <v>0</v>
      </c>
      <c r="O277" s="413">
        <f t="shared" si="127"/>
        <v>0</v>
      </c>
      <c r="P277" s="413">
        <f t="shared" si="127"/>
        <v>0</v>
      </c>
      <c r="Q277" s="413">
        <f t="shared" si="127"/>
        <v>0</v>
      </c>
      <c r="R277" s="413">
        <f t="shared" si="127"/>
        <v>0</v>
      </c>
      <c r="S277" s="413">
        <f t="shared" si="127"/>
        <v>0</v>
      </c>
      <c r="T277" s="413">
        <f t="shared" si="127"/>
        <v>0</v>
      </c>
      <c r="U277" s="413">
        <f t="shared" si="127"/>
        <v>0</v>
      </c>
      <c r="V277" s="413">
        <f t="shared" si="127"/>
        <v>0</v>
      </c>
      <c r="W277" s="413">
        <f t="shared" si="127"/>
        <v>0</v>
      </c>
      <c r="X277" s="413">
        <f t="shared" si="127"/>
        <v>0</v>
      </c>
      <c r="Y277" s="413">
        <f t="shared" si="127"/>
        <v>0</v>
      </c>
      <c r="Z277" s="413">
        <f t="shared" si="127"/>
        <v>0</v>
      </c>
      <c r="AA277" s="413">
        <f t="shared" si="127"/>
        <v>0</v>
      </c>
      <c r="AB277" s="413">
        <f t="shared" si="127"/>
        <v>0</v>
      </c>
      <c r="AC277" s="413">
        <f t="shared" si="127"/>
        <v>0</v>
      </c>
      <c r="AD277" s="413">
        <f t="shared" si="127"/>
        <v>0</v>
      </c>
      <c r="AE277" s="413">
        <f t="shared" si="127"/>
        <v>0</v>
      </c>
      <c r="AF277" s="413">
        <f t="shared" si="127"/>
        <v>0</v>
      </c>
      <c r="AG277" s="413">
        <f t="shared" si="127"/>
        <v>0</v>
      </c>
      <c r="AH277" s="413">
        <f t="shared" si="127"/>
        <v>0</v>
      </c>
      <c r="AI277" s="413">
        <f t="shared" si="127"/>
        <v>0</v>
      </c>
      <c r="AJ277" s="413">
        <f t="shared" si="127"/>
        <v>0</v>
      </c>
      <c r="AK277" s="413">
        <f t="shared" si="127"/>
        <v>0</v>
      </c>
      <c r="AL277" s="413">
        <f t="shared" si="127"/>
        <v>0</v>
      </c>
      <c r="AM277" s="413">
        <f t="shared" si="127"/>
        <v>0</v>
      </c>
      <c r="AN277" s="413">
        <f t="shared" si="127"/>
        <v>0</v>
      </c>
      <c r="AO277" s="413">
        <f t="shared" si="127"/>
        <v>0</v>
      </c>
    </row>
    <row r="278" spans="3:43" x14ac:dyDescent="0.35">
      <c r="C278" s="29"/>
      <c r="F278" t="s">
        <v>1062</v>
      </c>
      <c r="G278" t="s">
        <v>207</v>
      </c>
      <c r="J278" s="163">
        <f t="shared" si="127"/>
        <v>0</v>
      </c>
      <c r="K278" s="163">
        <f t="shared" si="127"/>
        <v>0</v>
      </c>
      <c r="L278" s="163">
        <f t="shared" si="127"/>
        <v>0</v>
      </c>
      <c r="M278" s="163">
        <f t="shared" si="127"/>
        <v>0</v>
      </c>
      <c r="N278" s="163">
        <f t="shared" si="127"/>
        <v>0</v>
      </c>
      <c r="O278" s="163">
        <f t="shared" si="127"/>
        <v>0</v>
      </c>
      <c r="P278" s="163">
        <f t="shared" si="127"/>
        <v>0</v>
      </c>
      <c r="Q278" s="163">
        <f t="shared" si="127"/>
        <v>0</v>
      </c>
      <c r="R278" s="163">
        <f t="shared" si="127"/>
        <v>0</v>
      </c>
      <c r="S278" s="163">
        <f t="shared" si="127"/>
        <v>0</v>
      </c>
      <c r="T278" s="163">
        <f t="shared" si="127"/>
        <v>0</v>
      </c>
      <c r="U278" s="163">
        <f t="shared" si="127"/>
        <v>0</v>
      </c>
      <c r="V278" s="163">
        <f t="shared" si="127"/>
        <v>0</v>
      </c>
      <c r="W278" s="163">
        <f t="shared" si="127"/>
        <v>0</v>
      </c>
      <c r="X278" s="163">
        <f t="shared" si="127"/>
        <v>0</v>
      </c>
      <c r="Y278" s="163">
        <f t="shared" si="127"/>
        <v>0</v>
      </c>
      <c r="Z278" s="163">
        <f t="shared" si="127"/>
        <v>0</v>
      </c>
      <c r="AA278" s="163">
        <f t="shared" si="127"/>
        <v>0</v>
      </c>
      <c r="AB278" s="163">
        <f t="shared" si="127"/>
        <v>0</v>
      </c>
      <c r="AC278" s="163">
        <f t="shared" si="127"/>
        <v>0</v>
      </c>
      <c r="AD278" s="163">
        <f t="shared" si="127"/>
        <v>0</v>
      </c>
      <c r="AE278" s="163">
        <f t="shared" si="127"/>
        <v>0</v>
      </c>
      <c r="AF278" s="163">
        <f t="shared" si="127"/>
        <v>0</v>
      </c>
      <c r="AG278" s="163">
        <f t="shared" si="127"/>
        <v>0</v>
      </c>
      <c r="AH278" s="163">
        <f t="shared" si="127"/>
        <v>0</v>
      </c>
      <c r="AI278" s="163">
        <f t="shared" si="127"/>
        <v>0</v>
      </c>
      <c r="AJ278" s="163">
        <f t="shared" si="127"/>
        <v>0</v>
      </c>
      <c r="AK278" s="163">
        <f t="shared" si="127"/>
        <v>0</v>
      </c>
      <c r="AL278" s="163">
        <f t="shared" si="127"/>
        <v>0</v>
      </c>
      <c r="AM278" s="163">
        <f t="shared" si="127"/>
        <v>0</v>
      </c>
      <c r="AN278" s="163">
        <f t="shared" si="127"/>
        <v>0</v>
      </c>
      <c r="AO278" s="163">
        <f t="shared" si="127"/>
        <v>0</v>
      </c>
    </row>
    <row r="279" spans="3:43" x14ac:dyDescent="0.35">
      <c r="C279" s="29"/>
      <c r="F279" s="37" t="s">
        <v>1063</v>
      </c>
      <c r="G279" s="37" t="s">
        <v>207</v>
      </c>
      <c r="H279" s="37"/>
      <c r="I279" s="37"/>
      <c r="J279" s="414">
        <f t="shared" si="127"/>
        <v>0</v>
      </c>
      <c r="K279" s="414">
        <f t="shared" si="127"/>
        <v>0</v>
      </c>
      <c r="L279" s="414">
        <f t="shared" si="127"/>
        <v>0</v>
      </c>
      <c r="M279" s="414">
        <f t="shared" si="127"/>
        <v>0</v>
      </c>
      <c r="N279" s="414">
        <f t="shared" si="127"/>
        <v>0</v>
      </c>
      <c r="O279" s="414">
        <f t="shared" si="127"/>
        <v>0</v>
      </c>
      <c r="P279" s="414">
        <f t="shared" si="127"/>
        <v>0</v>
      </c>
      <c r="Q279" s="414">
        <f t="shared" si="127"/>
        <v>0</v>
      </c>
      <c r="R279" s="414">
        <f t="shared" si="127"/>
        <v>0</v>
      </c>
      <c r="S279" s="414">
        <f t="shared" si="127"/>
        <v>0</v>
      </c>
      <c r="T279" s="414">
        <f t="shared" si="127"/>
        <v>0</v>
      </c>
      <c r="U279" s="414">
        <f t="shared" si="127"/>
        <v>0</v>
      </c>
      <c r="V279" s="414">
        <f t="shared" si="127"/>
        <v>0</v>
      </c>
      <c r="W279" s="414">
        <f t="shared" si="127"/>
        <v>0</v>
      </c>
      <c r="X279" s="414">
        <f t="shared" si="127"/>
        <v>0</v>
      </c>
      <c r="Y279" s="414">
        <f t="shared" si="127"/>
        <v>0</v>
      </c>
      <c r="Z279" s="414">
        <f t="shared" si="127"/>
        <v>0</v>
      </c>
      <c r="AA279" s="414">
        <f t="shared" si="127"/>
        <v>0</v>
      </c>
      <c r="AB279" s="414">
        <f t="shared" si="127"/>
        <v>0</v>
      </c>
      <c r="AC279" s="414">
        <f t="shared" si="127"/>
        <v>0</v>
      </c>
      <c r="AD279" s="414">
        <f t="shared" si="127"/>
        <v>0</v>
      </c>
      <c r="AE279" s="414">
        <f t="shared" si="127"/>
        <v>0</v>
      </c>
      <c r="AF279" s="414">
        <f t="shared" si="127"/>
        <v>0</v>
      </c>
      <c r="AG279" s="414">
        <f t="shared" si="127"/>
        <v>0</v>
      </c>
      <c r="AH279" s="414">
        <f t="shared" si="127"/>
        <v>0</v>
      </c>
      <c r="AI279" s="414">
        <f t="shared" si="127"/>
        <v>0</v>
      </c>
      <c r="AJ279" s="414">
        <f t="shared" si="127"/>
        <v>0</v>
      </c>
      <c r="AK279" s="414">
        <f t="shared" si="127"/>
        <v>0</v>
      </c>
      <c r="AL279" s="414">
        <f t="shared" si="127"/>
        <v>0</v>
      </c>
      <c r="AM279" s="414">
        <f t="shared" si="127"/>
        <v>0</v>
      </c>
      <c r="AN279" s="414">
        <f t="shared" si="127"/>
        <v>0</v>
      </c>
      <c r="AO279" s="414">
        <f t="shared" si="127"/>
        <v>0</v>
      </c>
    </row>
    <row r="280" spans="3:43" x14ac:dyDescent="0.35">
      <c r="C280" s="29"/>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row>
    <row r="281" spans="3:43" x14ac:dyDescent="0.35">
      <c r="C281" s="29"/>
      <c r="E281" s="32" t="s">
        <v>1072</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spans="3:43" x14ac:dyDescent="0.35">
      <c r="C282" s="29"/>
      <c r="F282" s="23" t="s">
        <v>1061</v>
      </c>
      <c r="G282" s="23" t="s">
        <v>207</v>
      </c>
      <c r="H282" s="23"/>
      <c r="I282" s="23"/>
      <c r="J282" s="413">
        <f>J277 * J$157</f>
        <v>0</v>
      </c>
      <c r="K282" s="413">
        <f t="shared" ref="K282:AO282" si="128">K277 * K$157</f>
        <v>0</v>
      </c>
      <c r="L282" s="413">
        <f t="shared" si="128"/>
        <v>0</v>
      </c>
      <c r="M282" s="413">
        <f t="shared" si="128"/>
        <v>0</v>
      </c>
      <c r="N282" s="413">
        <f t="shared" si="128"/>
        <v>0</v>
      </c>
      <c r="O282" s="413">
        <f t="shared" si="128"/>
        <v>0</v>
      </c>
      <c r="P282" s="413">
        <f t="shared" si="128"/>
        <v>0</v>
      </c>
      <c r="Q282" s="413">
        <f t="shared" si="128"/>
        <v>0</v>
      </c>
      <c r="R282" s="413">
        <f t="shared" si="128"/>
        <v>0</v>
      </c>
      <c r="S282" s="413">
        <f t="shared" si="128"/>
        <v>0</v>
      </c>
      <c r="T282" s="413">
        <f t="shared" si="128"/>
        <v>0</v>
      </c>
      <c r="U282" s="413">
        <f t="shared" si="128"/>
        <v>0</v>
      </c>
      <c r="V282" s="413">
        <f t="shared" si="128"/>
        <v>0</v>
      </c>
      <c r="W282" s="413">
        <f t="shared" si="128"/>
        <v>0</v>
      </c>
      <c r="X282" s="413">
        <f t="shared" si="128"/>
        <v>0</v>
      </c>
      <c r="Y282" s="413">
        <f t="shared" si="128"/>
        <v>0</v>
      </c>
      <c r="Z282" s="413">
        <f t="shared" si="128"/>
        <v>0</v>
      </c>
      <c r="AA282" s="413">
        <f t="shared" si="128"/>
        <v>0</v>
      </c>
      <c r="AB282" s="413">
        <f t="shared" si="128"/>
        <v>0</v>
      </c>
      <c r="AC282" s="413">
        <f t="shared" si="128"/>
        <v>0</v>
      </c>
      <c r="AD282" s="413">
        <f t="shared" si="128"/>
        <v>0</v>
      </c>
      <c r="AE282" s="413">
        <f t="shared" si="128"/>
        <v>0</v>
      </c>
      <c r="AF282" s="413">
        <f t="shared" si="128"/>
        <v>0</v>
      </c>
      <c r="AG282" s="413">
        <f t="shared" si="128"/>
        <v>0</v>
      </c>
      <c r="AH282" s="413">
        <f t="shared" si="128"/>
        <v>0</v>
      </c>
      <c r="AI282" s="413">
        <f t="shared" si="128"/>
        <v>0</v>
      </c>
      <c r="AJ282" s="413">
        <f t="shared" si="128"/>
        <v>0</v>
      </c>
      <c r="AK282" s="413">
        <f t="shared" si="128"/>
        <v>0</v>
      </c>
      <c r="AL282" s="413">
        <f t="shared" si="128"/>
        <v>0</v>
      </c>
      <c r="AM282" s="413">
        <f t="shared" si="128"/>
        <v>0</v>
      </c>
      <c r="AN282" s="413">
        <f t="shared" si="128"/>
        <v>0</v>
      </c>
      <c r="AO282" s="413">
        <f t="shared" si="128"/>
        <v>0</v>
      </c>
    </row>
    <row r="283" spans="3:43" x14ac:dyDescent="0.35">
      <c r="C283" s="29"/>
      <c r="F283" t="s">
        <v>1062</v>
      </c>
      <c r="G283" t="s">
        <v>207</v>
      </c>
      <c r="J283" s="163">
        <f t="shared" ref="J283:AO284" si="129">J278 * J$157</f>
        <v>0</v>
      </c>
      <c r="K283" s="163">
        <f t="shared" si="129"/>
        <v>0</v>
      </c>
      <c r="L283" s="163">
        <f t="shared" si="129"/>
        <v>0</v>
      </c>
      <c r="M283" s="163">
        <f t="shared" si="129"/>
        <v>0</v>
      </c>
      <c r="N283" s="163">
        <f t="shared" si="129"/>
        <v>0</v>
      </c>
      <c r="O283" s="163">
        <f t="shared" si="129"/>
        <v>0</v>
      </c>
      <c r="P283" s="163">
        <f t="shared" si="129"/>
        <v>0</v>
      </c>
      <c r="Q283" s="163">
        <f t="shared" si="129"/>
        <v>0</v>
      </c>
      <c r="R283" s="163">
        <f t="shared" si="129"/>
        <v>0</v>
      </c>
      <c r="S283" s="163">
        <f t="shared" si="129"/>
        <v>0</v>
      </c>
      <c r="T283" s="163">
        <f t="shared" si="129"/>
        <v>0</v>
      </c>
      <c r="U283" s="163">
        <f t="shared" si="129"/>
        <v>0</v>
      </c>
      <c r="V283" s="163">
        <f t="shared" si="129"/>
        <v>0</v>
      </c>
      <c r="W283" s="163">
        <f t="shared" si="129"/>
        <v>0</v>
      </c>
      <c r="X283" s="163">
        <f t="shared" si="129"/>
        <v>0</v>
      </c>
      <c r="Y283" s="163">
        <f t="shared" si="129"/>
        <v>0</v>
      </c>
      <c r="Z283" s="163">
        <f t="shared" si="129"/>
        <v>0</v>
      </c>
      <c r="AA283" s="163">
        <f t="shared" si="129"/>
        <v>0</v>
      </c>
      <c r="AB283" s="163">
        <f t="shared" si="129"/>
        <v>0</v>
      </c>
      <c r="AC283" s="163">
        <f t="shared" si="129"/>
        <v>0</v>
      </c>
      <c r="AD283" s="163">
        <f t="shared" si="129"/>
        <v>0</v>
      </c>
      <c r="AE283" s="163">
        <f t="shared" si="129"/>
        <v>0</v>
      </c>
      <c r="AF283" s="163">
        <f t="shared" si="129"/>
        <v>0</v>
      </c>
      <c r="AG283" s="163">
        <f t="shared" si="129"/>
        <v>0</v>
      </c>
      <c r="AH283" s="163">
        <f t="shared" si="129"/>
        <v>0</v>
      </c>
      <c r="AI283" s="163">
        <f t="shared" si="129"/>
        <v>0</v>
      </c>
      <c r="AJ283" s="163">
        <f t="shared" si="129"/>
        <v>0</v>
      </c>
      <c r="AK283" s="163">
        <f t="shared" si="129"/>
        <v>0</v>
      </c>
      <c r="AL283" s="163">
        <f t="shared" si="129"/>
        <v>0</v>
      </c>
      <c r="AM283" s="163">
        <f t="shared" si="129"/>
        <v>0</v>
      </c>
      <c r="AN283" s="163">
        <f t="shared" si="129"/>
        <v>0</v>
      </c>
      <c r="AO283" s="163">
        <f t="shared" si="129"/>
        <v>0</v>
      </c>
    </row>
    <row r="284" spans="3:43" x14ac:dyDescent="0.35">
      <c r="C284" s="29"/>
      <c r="F284" s="37" t="s">
        <v>1063</v>
      </c>
      <c r="G284" s="37" t="s">
        <v>207</v>
      </c>
      <c r="H284" s="37"/>
      <c r="I284" s="37"/>
      <c r="J284" s="414">
        <f t="shared" si="129"/>
        <v>0</v>
      </c>
      <c r="K284" s="414">
        <f t="shared" si="129"/>
        <v>0</v>
      </c>
      <c r="L284" s="414">
        <f t="shared" si="129"/>
        <v>0</v>
      </c>
      <c r="M284" s="414">
        <f t="shared" si="129"/>
        <v>0</v>
      </c>
      <c r="N284" s="414">
        <f t="shared" si="129"/>
        <v>0</v>
      </c>
      <c r="O284" s="414">
        <f t="shared" si="129"/>
        <v>0</v>
      </c>
      <c r="P284" s="414">
        <f t="shared" si="129"/>
        <v>0</v>
      </c>
      <c r="Q284" s="414">
        <f t="shared" si="129"/>
        <v>0</v>
      </c>
      <c r="R284" s="414">
        <f t="shared" si="129"/>
        <v>0</v>
      </c>
      <c r="S284" s="414">
        <f t="shared" si="129"/>
        <v>0</v>
      </c>
      <c r="T284" s="414">
        <f t="shared" si="129"/>
        <v>0</v>
      </c>
      <c r="U284" s="414">
        <f t="shared" si="129"/>
        <v>0</v>
      </c>
      <c r="V284" s="414">
        <f t="shared" si="129"/>
        <v>0</v>
      </c>
      <c r="W284" s="414">
        <f t="shared" si="129"/>
        <v>0</v>
      </c>
      <c r="X284" s="414">
        <f t="shared" si="129"/>
        <v>0</v>
      </c>
      <c r="Y284" s="414">
        <f t="shared" si="129"/>
        <v>0</v>
      </c>
      <c r="Z284" s="414">
        <f t="shared" si="129"/>
        <v>0</v>
      </c>
      <c r="AA284" s="414">
        <f t="shared" si="129"/>
        <v>0</v>
      </c>
      <c r="AB284" s="414">
        <f t="shared" si="129"/>
        <v>0</v>
      </c>
      <c r="AC284" s="414">
        <f t="shared" si="129"/>
        <v>0</v>
      </c>
      <c r="AD284" s="414">
        <f t="shared" si="129"/>
        <v>0</v>
      </c>
      <c r="AE284" s="414">
        <f t="shared" si="129"/>
        <v>0</v>
      </c>
      <c r="AF284" s="414">
        <f t="shared" si="129"/>
        <v>0</v>
      </c>
      <c r="AG284" s="414">
        <f t="shared" si="129"/>
        <v>0</v>
      </c>
      <c r="AH284" s="414">
        <f t="shared" si="129"/>
        <v>0</v>
      </c>
      <c r="AI284" s="414">
        <f t="shared" si="129"/>
        <v>0</v>
      </c>
      <c r="AJ284" s="414">
        <f t="shared" si="129"/>
        <v>0</v>
      </c>
      <c r="AK284" s="414">
        <f t="shared" si="129"/>
        <v>0</v>
      </c>
      <c r="AL284" s="414">
        <f t="shared" si="129"/>
        <v>0</v>
      </c>
      <c r="AM284" s="414">
        <f t="shared" si="129"/>
        <v>0</v>
      </c>
      <c r="AN284" s="414">
        <f t="shared" si="129"/>
        <v>0</v>
      </c>
      <c r="AO284" s="414">
        <f t="shared" si="129"/>
        <v>0</v>
      </c>
    </row>
    <row r="285" spans="3:43" x14ac:dyDescent="0.35">
      <c r="C285" s="29"/>
      <c r="E285" s="32"/>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spans="3:43" x14ac:dyDescent="0.35">
      <c r="C286" s="31" t="str">
        <f ca="1">INDEX('Version control'!$H$34:$H$57,MATCH($A$1,'Version control'!$F$34:$F$57,0),1)&amp;"-K: Revenue matching for three timebands"</f>
        <v>Section 116-K: Revenue matching for three timebands</v>
      </c>
      <c r="D286" s="31"/>
      <c r="E286" s="31"/>
      <c r="F286" s="31"/>
      <c r="G286" s="31"/>
      <c r="H286" s="31"/>
      <c r="I286" s="31"/>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31"/>
      <c r="AQ286" s="31"/>
    </row>
    <row r="287" spans="3:43" x14ac:dyDescent="0.35">
      <c r="C287" s="29"/>
      <c r="E287" s="32"/>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spans="3:43" x14ac:dyDescent="0.35">
      <c r="C288" s="29"/>
      <c r="D288" s="29" t="s">
        <v>1073</v>
      </c>
      <c r="E288" s="32"/>
      <c r="I288" t="s">
        <v>154</v>
      </c>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Q288" t="s">
        <v>1128</v>
      </c>
    </row>
    <row r="289" spans="3:44" x14ac:dyDescent="0.35">
      <c r="C289" s="29"/>
      <c r="D289" s="29" t="s">
        <v>1074</v>
      </c>
      <c r="E289" s="32"/>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spans="3:44" x14ac:dyDescent="0.35">
      <c r="C290" s="29"/>
      <c r="D290" s="29" t="s">
        <v>1075</v>
      </c>
      <c r="E290" s="32"/>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3:44" x14ac:dyDescent="0.35">
      <c r="C291" s="29"/>
      <c r="E291" s="32"/>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spans="3:44" x14ac:dyDescent="0.35">
      <c r="C292" s="29"/>
      <c r="E292" s="32" t="s">
        <v>1076</v>
      </c>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spans="3:44" x14ac:dyDescent="0.35">
      <c r="C293" s="29"/>
      <c r="F293" t="s">
        <v>1077</v>
      </c>
      <c r="G293" t="s">
        <v>936</v>
      </c>
      <c r="J293" s="163">
        <f t="shared" ref="J293:AO293" si="130">SUMIF($J149:$AO149,J149,$J228:$AO228)</f>
        <v>0</v>
      </c>
      <c r="K293" s="163">
        <f t="shared" si="130"/>
        <v>0</v>
      </c>
      <c r="L293" s="163">
        <f t="shared" si="130"/>
        <v>0</v>
      </c>
      <c r="M293" s="163">
        <f t="shared" si="130"/>
        <v>0</v>
      </c>
      <c r="N293" s="163">
        <f t="shared" si="130"/>
        <v>0</v>
      </c>
      <c r="O293" s="163">
        <f t="shared" si="130"/>
        <v>0</v>
      </c>
      <c r="P293" s="163">
        <f t="shared" si="130"/>
        <v>0</v>
      </c>
      <c r="Q293" s="163">
        <f t="shared" si="130"/>
        <v>0</v>
      </c>
      <c r="R293" s="163">
        <f t="shared" si="130"/>
        <v>0</v>
      </c>
      <c r="S293" s="163">
        <f t="shared" si="130"/>
        <v>0</v>
      </c>
      <c r="T293" s="163">
        <f t="shared" si="130"/>
        <v>0</v>
      </c>
      <c r="U293" s="163">
        <f t="shared" si="130"/>
        <v>0</v>
      </c>
      <c r="V293" s="163">
        <f t="shared" si="130"/>
        <v>0</v>
      </c>
      <c r="W293" s="163">
        <f t="shared" si="130"/>
        <v>0</v>
      </c>
      <c r="X293" s="163">
        <f t="shared" si="130"/>
        <v>0</v>
      </c>
      <c r="Y293" s="163">
        <f t="shared" si="130"/>
        <v>0</v>
      </c>
      <c r="Z293" s="163">
        <f t="shared" si="130"/>
        <v>0</v>
      </c>
      <c r="AA293" s="163">
        <f t="shared" si="130"/>
        <v>0</v>
      </c>
      <c r="AB293" s="163">
        <f t="shared" si="130"/>
        <v>0</v>
      </c>
      <c r="AC293" s="163">
        <f t="shared" si="130"/>
        <v>0</v>
      </c>
      <c r="AD293" s="163">
        <f t="shared" si="130"/>
        <v>0</v>
      </c>
      <c r="AE293" s="163">
        <f t="shared" si="130"/>
        <v>0</v>
      </c>
      <c r="AF293" s="163">
        <f t="shared" si="130"/>
        <v>0</v>
      </c>
      <c r="AG293" s="163">
        <f t="shared" si="130"/>
        <v>0</v>
      </c>
      <c r="AH293" s="163">
        <f t="shared" si="130"/>
        <v>0</v>
      </c>
      <c r="AI293" s="163">
        <f t="shared" si="130"/>
        <v>0</v>
      </c>
      <c r="AJ293" s="163">
        <f t="shared" si="130"/>
        <v>0</v>
      </c>
      <c r="AK293" s="163">
        <f t="shared" si="130"/>
        <v>0</v>
      </c>
      <c r="AL293" s="163">
        <f t="shared" si="130"/>
        <v>0</v>
      </c>
      <c r="AM293" s="163">
        <f t="shared" si="130"/>
        <v>0</v>
      </c>
      <c r="AN293" s="163">
        <f t="shared" si="130"/>
        <v>0</v>
      </c>
      <c r="AO293" s="163">
        <f t="shared" si="130"/>
        <v>0</v>
      </c>
    </row>
    <row r="294" spans="3:44" x14ac:dyDescent="0.35">
      <c r="C294" s="29"/>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spans="3:44" x14ac:dyDescent="0.35">
      <c r="C295" s="29"/>
      <c r="F295" t="s">
        <v>1078</v>
      </c>
      <c r="G295" t="s">
        <v>936</v>
      </c>
      <c r="J295" s="163">
        <f t="shared" ref="J295:AO295" si="131" xml:space="preserve"> J293 * J157</f>
        <v>0</v>
      </c>
      <c r="K295" s="163">
        <f t="shared" si="131"/>
        <v>0</v>
      </c>
      <c r="L295" s="163">
        <f t="shared" si="131"/>
        <v>0</v>
      </c>
      <c r="M295" s="163">
        <f t="shared" si="131"/>
        <v>0</v>
      </c>
      <c r="N295" s="163">
        <f t="shared" si="131"/>
        <v>0</v>
      </c>
      <c r="O295" s="163">
        <f t="shared" si="131"/>
        <v>0</v>
      </c>
      <c r="P295" s="163">
        <f t="shared" si="131"/>
        <v>0</v>
      </c>
      <c r="Q295" s="163">
        <f t="shared" si="131"/>
        <v>0</v>
      </c>
      <c r="R295" s="163">
        <f t="shared" si="131"/>
        <v>0</v>
      </c>
      <c r="S295" s="163">
        <f t="shared" si="131"/>
        <v>0</v>
      </c>
      <c r="T295" s="163">
        <f t="shared" si="131"/>
        <v>0</v>
      </c>
      <c r="U295" s="163">
        <f t="shared" si="131"/>
        <v>0</v>
      </c>
      <c r="V295" s="163">
        <f t="shared" si="131"/>
        <v>0</v>
      </c>
      <c r="W295" s="163">
        <f t="shared" si="131"/>
        <v>0</v>
      </c>
      <c r="X295" s="163">
        <f t="shared" si="131"/>
        <v>0</v>
      </c>
      <c r="Y295" s="163">
        <f t="shared" si="131"/>
        <v>0</v>
      </c>
      <c r="Z295" s="163">
        <f t="shared" si="131"/>
        <v>0</v>
      </c>
      <c r="AA295" s="163">
        <f t="shared" si="131"/>
        <v>0</v>
      </c>
      <c r="AB295" s="163">
        <f t="shared" si="131"/>
        <v>0</v>
      </c>
      <c r="AC295" s="163">
        <f t="shared" si="131"/>
        <v>0</v>
      </c>
      <c r="AD295" s="163">
        <f t="shared" si="131"/>
        <v>0</v>
      </c>
      <c r="AE295" s="163">
        <f t="shared" si="131"/>
        <v>0</v>
      </c>
      <c r="AF295" s="163">
        <f t="shared" si="131"/>
        <v>0</v>
      </c>
      <c r="AG295" s="163">
        <f t="shared" si="131"/>
        <v>0</v>
      </c>
      <c r="AH295" s="163">
        <f t="shared" si="131"/>
        <v>0</v>
      </c>
      <c r="AI295" s="163">
        <f t="shared" si="131"/>
        <v>0</v>
      </c>
      <c r="AJ295" s="163">
        <f t="shared" si="131"/>
        <v>0</v>
      </c>
      <c r="AK295" s="163">
        <f t="shared" si="131"/>
        <v>0</v>
      </c>
      <c r="AL295" s="163">
        <f t="shared" si="131"/>
        <v>0</v>
      </c>
      <c r="AM295" s="163">
        <f t="shared" si="131"/>
        <v>0</v>
      </c>
      <c r="AN295" s="163">
        <f t="shared" si="131"/>
        <v>0</v>
      </c>
      <c r="AO295" s="163">
        <f t="shared" si="131"/>
        <v>0</v>
      </c>
    </row>
    <row r="296" spans="3:44" x14ac:dyDescent="0.35">
      <c r="C296" s="29"/>
      <c r="F296" s="2"/>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spans="3:44" x14ac:dyDescent="0.35">
      <c r="C297" s="29"/>
      <c r="E297" s="32" t="s">
        <v>1026</v>
      </c>
      <c r="F297" s="2"/>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spans="3:44" x14ac:dyDescent="0.35">
      <c r="C298" s="29"/>
      <c r="F298" s="410" t="s">
        <v>1079</v>
      </c>
      <c r="G298" t="s">
        <v>207</v>
      </c>
      <c r="J298" s="163">
        <f t="shared" ref="J298:AO298" si="132">SUM(J282:J284)</f>
        <v>0</v>
      </c>
      <c r="K298" s="163">
        <f t="shared" si="132"/>
        <v>0</v>
      </c>
      <c r="L298" s="163">
        <f t="shared" si="132"/>
        <v>0</v>
      </c>
      <c r="M298" s="163">
        <f t="shared" si="132"/>
        <v>0</v>
      </c>
      <c r="N298" s="163">
        <f t="shared" si="132"/>
        <v>0</v>
      </c>
      <c r="O298" s="163">
        <f t="shared" si="132"/>
        <v>0</v>
      </c>
      <c r="P298" s="163">
        <f t="shared" si="132"/>
        <v>0</v>
      </c>
      <c r="Q298" s="163">
        <f t="shared" si="132"/>
        <v>0</v>
      </c>
      <c r="R298" s="163">
        <f t="shared" si="132"/>
        <v>0</v>
      </c>
      <c r="S298" s="163">
        <f t="shared" si="132"/>
        <v>0</v>
      </c>
      <c r="T298" s="163">
        <f t="shared" si="132"/>
        <v>0</v>
      </c>
      <c r="U298" s="163">
        <f t="shared" si="132"/>
        <v>0</v>
      </c>
      <c r="V298" s="163">
        <f t="shared" si="132"/>
        <v>0</v>
      </c>
      <c r="W298" s="163">
        <f t="shared" si="132"/>
        <v>0</v>
      </c>
      <c r="X298" s="163">
        <f t="shared" si="132"/>
        <v>0</v>
      </c>
      <c r="Y298" s="163">
        <f t="shared" si="132"/>
        <v>0</v>
      </c>
      <c r="Z298" s="163">
        <f t="shared" si="132"/>
        <v>0</v>
      </c>
      <c r="AA298" s="163">
        <f t="shared" si="132"/>
        <v>0</v>
      </c>
      <c r="AB298" s="163">
        <f t="shared" si="132"/>
        <v>0</v>
      </c>
      <c r="AC298" s="163">
        <f t="shared" si="132"/>
        <v>0</v>
      </c>
      <c r="AD298" s="163">
        <f t="shared" si="132"/>
        <v>0</v>
      </c>
      <c r="AE298" s="163">
        <f t="shared" si="132"/>
        <v>0</v>
      </c>
      <c r="AF298" s="163">
        <f t="shared" si="132"/>
        <v>0</v>
      </c>
      <c r="AG298" s="163">
        <f t="shared" si="132"/>
        <v>0</v>
      </c>
      <c r="AH298" s="163">
        <f t="shared" si="132"/>
        <v>0</v>
      </c>
      <c r="AI298" s="163">
        <f t="shared" si="132"/>
        <v>0</v>
      </c>
      <c r="AJ298" s="163">
        <f t="shared" si="132"/>
        <v>0</v>
      </c>
      <c r="AK298" s="163">
        <f t="shared" si="132"/>
        <v>0</v>
      </c>
      <c r="AL298" s="163">
        <f t="shared" si="132"/>
        <v>0</v>
      </c>
      <c r="AM298" s="163">
        <f t="shared" si="132"/>
        <v>0</v>
      </c>
      <c r="AN298" s="163">
        <f t="shared" si="132"/>
        <v>0</v>
      </c>
      <c r="AO298" s="163">
        <f t="shared" si="132"/>
        <v>0</v>
      </c>
    </row>
    <row r="299" spans="3:44" x14ac:dyDescent="0.35">
      <c r="C299" s="29"/>
      <c r="F299" s="2"/>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3:44" x14ac:dyDescent="0.35">
      <c r="C300" s="29"/>
      <c r="F300" t="s">
        <v>1028</v>
      </c>
      <c r="G300" t="s">
        <v>207</v>
      </c>
      <c r="J300" s="163">
        <f t="shared" ref="J300:AO300" si="133">SUMIF($J149:$AO149,J149,$J298:$AOJ298)</f>
        <v>0</v>
      </c>
      <c r="K300" s="163">
        <f t="shared" si="133"/>
        <v>0</v>
      </c>
      <c r="L300" s="163">
        <f t="shared" si="133"/>
        <v>0</v>
      </c>
      <c r="M300" s="163">
        <f t="shared" si="133"/>
        <v>0</v>
      </c>
      <c r="N300" s="163">
        <f t="shared" si="133"/>
        <v>0</v>
      </c>
      <c r="O300" s="163">
        <f t="shared" si="133"/>
        <v>0</v>
      </c>
      <c r="P300" s="163">
        <f t="shared" si="133"/>
        <v>0</v>
      </c>
      <c r="Q300" s="163">
        <f t="shared" si="133"/>
        <v>0</v>
      </c>
      <c r="R300" s="163">
        <f t="shared" si="133"/>
        <v>0</v>
      </c>
      <c r="S300" s="163">
        <f t="shared" si="133"/>
        <v>0</v>
      </c>
      <c r="T300" s="163">
        <f t="shared" si="133"/>
        <v>0</v>
      </c>
      <c r="U300" s="163">
        <f t="shared" si="133"/>
        <v>0</v>
      </c>
      <c r="V300" s="163">
        <f t="shared" si="133"/>
        <v>0</v>
      </c>
      <c r="W300" s="163">
        <f t="shared" si="133"/>
        <v>0</v>
      </c>
      <c r="X300" s="163">
        <f t="shared" si="133"/>
        <v>0</v>
      </c>
      <c r="Y300" s="163">
        <f t="shared" si="133"/>
        <v>0</v>
      </c>
      <c r="Z300" s="163">
        <f t="shared" si="133"/>
        <v>0</v>
      </c>
      <c r="AA300" s="163">
        <f t="shared" si="133"/>
        <v>0</v>
      </c>
      <c r="AB300" s="163">
        <f t="shared" si="133"/>
        <v>0</v>
      </c>
      <c r="AC300" s="163">
        <f t="shared" si="133"/>
        <v>0</v>
      </c>
      <c r="AD300" s="163">
        <f t="shared" si="133"/>
        <v>0</v>
      </c>
      <c r="AE300" s="163">
        <f t="shared" si="133"/>
        <v>0</v>
      </c>
      <c r="AF300" s="163">
        <f t="shared" si="133"/>
        <v>0</v>
      </c>
      <c r="AG300" s="163">
        <f t="shared" si="133"/>
        <v>0</v>
      </c>
      <c r="AH300" s="163">
        <f t="shared" si="133"/>
        <v>0</v>
      </c>
      <c r="AI300" s="163">
        <f t="shared" si="133"/>
        <v>0</v>
      </c>
      <c r="AJ300" s="163">
        <f t="shared" si="133"/>
        <v>0</v>
      </c>
      <c r="AK300" s="163">
        <f t="shared" si="133"/>
        <v>0</v>
      </c>
      <c r="AL300" s="163">
        <f t="shared" si="133"/>
        <v>0</v>
      </c>
      <c r="AM300" s="163">
        <f t="shared" si="133"/>
        <v>0</v>
      </c>
      <c r="AN300" s="163">
        <f t="shared" si="133"/>
        <v>0</v>
      </c>
      <c r="AO300" s="163">
        <f t="shared" si="133"/>
        <v>0</v>
      </c>
    </row>
    <row r="301" spans="3:44" x14ac:dyDescent="0.35">
      <c r="C301" s="29"/>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3:44" x14ac:dyDescent="0.35">
      <c r="C302" s="29"/>
      <c r="F302" t="s">
        <v>1030</v>
      </c>
      <c r="G302" t="s">
        <v>207</v>
      </c>
      <c r="J302" s="163">
        <f t="shared" ref="J302:AO302" si="134" xml:space="preserve"> J300 * J157</f>
        <v>0</v>
      </c>
      <c r="K302" s="163">
        <f t="shared" si="134"/>
        <v>0</v>
      </c>
      <c r="L302" s="163">
        <f t="shared" si="134"/>
        <v>0</v>
      </c>
      <c r="M302" s="163">
        <f t="shared" si="134"/>
        <v>0</v>
      </c>
      <c r="N302" s="163">
        <f t="shared" si="134"/>
        <v>0</v>
      </c>
      <c r="O302" s="163">
        <f t="shared" si="134"/>
        <v>0</v>
      </c>
      <c r="P302" s="163">
        <f t="shared" si="134"/>
        <v>0</v>
      </c>
      <c r="Q302" s="163">
        <f t="shared" si="134"/>
        <v>0</v>
      </c>
      <c r="R302" s="163">
        <f t="shared" si="134"/>
        <v>0</v>
      </c>
      <c r="S302" s="163">
        <f t="shared" si="134"/>
        <v>0</v>
      </c>
      <c r="T302" s="163">
        <f t="shared" si="134"/>
        <v>0</v>
      </c>
      <c r="U302" s="163">
        <f t="shared" si="134"/>
        <v>0</v>
      </c>
      <c r="V302" s="163">
        <f t="shared" si="134"/>
        <v>0</v>
      </c>
      <c r="W302" s="163">
        <f t="shared" si="134"/>
        <v>0</v>
      </c>
      <c r="X302" s="163">
        <f t="shared" si="134"/>
        <v>0</v>
      </c>
      <c r="Y302" s="163">
        <f t="shared" si="134"/>
        <v>0</v>
      </c>
      <c r="Z302" s="163">
        <f t="shared" si="134"/>
        <v>0</v>
      </c>
      <c r="AA302" s="163">
        <f t="shared" si="134"/>
        <v>0</v>
      </c>
      <c r="AB302" s="163">
        <f t="shared" si="134"/>
        <v>0</v>
      </c>
      <c r="AC302" s="163">
        <f t="shared" si="134"/>
        <v>0</v>
      </c>
      <c r="AD302" s="163">
        <f t="shared" si="134"/>
        <v>0</v>
      </c>
      <c r="AE302" s="163">
        <f t="shared" si="134"/>
        <v>0</v>
      </c>
      <c r="AF302" s="163">
        <f t="shared" si="134"/>
        <v>0</v>
      </c>
      <c r="AG302" s="163">
        <f t="shared" si="134"/>
        <v>0</v>
      </c>
      <c r="AH302" s="163">
        <f t="shared" si="134"/>
        <v>0</v>
      </c>
      <c r="AI302" s="163">
        <f t="shared" si="134"/>
        <v>0</v>
      </c>
      <c r="AJ302" s="163">
        <f t="shared" si="134"/>
        <v>0</v>
      </c>
      <c r="AK302" s="163">
        <f t="shared" si="134"/>
        <v>0</v>
      </c>
      <c r="AL302" s="163">
        <f t="shared" si="134"/>
        <v>0</v>
      </c>
      <c r="AM302" s="163">
        <f t="shared" si="134"/>
        <v>0</v>
      </c>
      <c r="AN302" s="163">
        <f t="shared" si="134"/>
        <v>0</v>
      </c>
      <c r="AO302" s="163">
        <f t="shared" si="134"/>
        <v>0</v>
      </c>
      <c r="AP302" s="14"/>
      <c r="AQ302" s="14"/>
      <c r="AR302" s="14"/>
    </row>
    <row r="303" spans="3:44" x14ac:dyDescent="0.35">
      <c r="C303" s="29"/>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3:44" x14ac:dyDescent="0.35">
      <c r="C304" s="29"/>
      <c r="E304" s="28" t="s">
        <v>1080</v>
      </c>
      <c r="G304" t="s">
        <v>269</v>
      </c>
      <c r="J304" s="338">
        <f t="shared" ref="J304:AO304" si="135">IF( J298&lt;&gt;0, J295/J302, 0)*hundred/thousand</f>
        <v>0</v>
      </c>
      <c r="K304" s="338">
        <f t="shared" si="135"/>
        <v>0</v>
      </c>
      <c r="L304" s="338">
        <f t="shared" si="135"/>
        <v>0</v>
      </c>
      <c r="M304" s="338">
        <f t="shared" si="135"/>
        <v>0</v>
      </c>
      <c r="N304" s="338">
        <f t="shared" si="135"/>
        <v>0</v>
      </c>
      <c r="O304" s="338">
        <f t="shared" si="135"/>
        <v>0</v>
      </c>
      <c r="P304" s="338">
        <f t="shared" si="135"/>
        <v>0</v>
      </c>
      <c r="Q304" s="338">
        <f t="shared" si="135"/>
        <v>0</v>
      </c>
      <c r="R304" s="338">
        <f t="shared" si="135"/>
        <v>0</v>
      </c>
      <c r="S304" s="338">
        <f t="shared" si="135"/>
        <v>0</v>
      </c>
      <c r="T304" s="338">
        <f t="shared" si="135"/>
        <v>0</v>
      </c>
      <c r="U304" s="338">
        <f t="shared" si="135"/>
        <v>0</v>
      </c>
      <c r="V304" s="338">
        <f t="shared" si="135"/>
        <v>0</v>
      </c>
      <c r="W304" s="338">
        <f t="shared" si="135"/>
        <v>0</v>
      </c>
      <c r="X304" s="338">
        <f t="shared" si="135"/>
        <v>0</v>
      </c>
      <c r="Y304" s="338">
        <f t="shared" si="135"/>
        <v>0</v>
      </c>
      <c r="Z304" s="338">
        <f t="shared" si="135"/>
        <v>0</v>
      </c>
      <c r="AA304" s="338">
        <f t="shared" si="135"/>
        <v>0</v>
      </c>
      <c r="AB304" s="338">
        <f t="shared" si="135"/>
        <v>0</v>
      </c>
      <c r="AC304" s="338">
        <f t="shared" si="135"/>
        <v>0</v>
      </c>
      <c r="AD304" s="338">
        <f t="shared" si="135"/>
        <v>0</v>
      </c>
      <c r="AE304" s="338">
        <f t="shared" si="135"/>
        <v>0</v>
      </c>
      <c r="AF304" s="338">
        <f t="shared" si="135"/>
        <v>0</v>
      </c>
      <c r="AG304" s="338">
        <f t="shared" si="135"/>
        <v>0</v>
      </c>
      <c r="AH304" s="338">
        <f t="shared" si="135"/>
        <v>0</v>
      </c>
      <c r="AI304" s="338">
        <f t="shared" si="135"/>
        <v>0</v>
      </c>
      <c r="AJ304" s="338">
        <f t="shared" si="135"/>
        <v>0</v>
      </c>
      <c r="AK304" s="338">
        <f t="shared" si="135"/>
        <v>0</v>
      </c>
      <c r="AL304" s="338">
        <f t="shared" si="135"/>
        <v>0</v>
      </c>
      <c r="AM304" s="338">
        <f t="shared" si="135"/>
        <v>0</v>
      </c>
      <c r="AN304" s="338">
        <f t="shared" si="135"/>
        <v>0</v>
      </c>
      <c r="AO304" s="338">
        <f t="shared" si="135"/>
        <v>0</v>
      </c>
    </row>
    <row r="305" spans="3:43" x14ac:dyDescent="0.35">
      <c r="C305" s="29"/>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spans="3:43" x14ac:dyDescent="0.35">
      <c r="C306" s="29"/>
      <c r="E306" s="32" t="s">
        <v>1081</v>
      </c>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spans="3:43" x14ac:dyDescent="0.35">
      <c r="C307" s="29"/>
      <c r="F307" s="23" t="s">
        <v>1061</v>
      </c>
      <c r="G307" s="23" t="s">
        <v>912</v>
      </c>
      <c r="H307" s="23"/>
      <c r="I307" s="23"/>
      <c r="J307" s="415" t="b">
        <f t="shared" ref="J307:AO307" si="136">IF(J$32, - J262+J$304&gt;=0, TRUE)</f>
        <v>1</v>
      </c>
      <c r="K307" s="415" t="b">
        <f t="shared" si="136"/>
        <v>1</v>
      </c>
      <c r="L307" s="415" t="b">
        <f t="shared" si="136"/>
        <v>1</v>
      </c>
      <c r="M307" s="415" t="b">
        <f t="shared" si="136"/>
        <v>1</v>
      </c>
      <c r="N307" s="415" t="b">
        <f t="shared" si="136"/>
        <v>1</v>
      </c>
      <c r="O307" s="415" t="b">
        <f t="shared" si="136"/>
        <v>1</v>
      </c>
      <c r="P307" s="415" t="b">
        <f t="shared" si="136"/>
        <v>1</v>
      </c>
      <c r="Q307" s="415" t="b">
        <f t="shared" si="136"/>
        <v>1</v>
      </c>
      <c r="R307" s="415" t="b">
        <f t="shared" si="136"/>
        <v>1</v>
      </c>
      <c r="S307" s="415" t="b">
        <f t="shared" si="136"/>
        <v>1</v>
      </c>
      <c r="T307" s="415" t="b">
        <f t="shared" si="136"/>
        <v>1</v>
      </c>
      <c r="U307" s="415" t="b">
        <f t="shared" si="136"/>
        <v>1</v>
      </c>
      <c r="V307" s="415" t="b">
        <f t="shared" si="136"/>
        <v>1</v>
      </c>
      <c r="W307" s="415" t="b">
        <f t="shared" si="136"/>
        <v>1</v>
      </c>
      <c r="X307" s="415" t="b">
        <f t="shared" si="136"/>
        <v>1</v>
      </c>
      <c r="Y307" s="415" t="b">
        <f t="shared" si="136"/>
        <v>1</v>
      </c>
      <c r="Z307" s="415" t="b">
        <f t="shared" si="136"/>
        <v>1</v>
      </c>
      <c r="AA307" s="415" t="b">
        <f t="shared" si="136"/>
        <v>1</v>
      </c>
      <c r="AB307" s="415" t="b">
        <f t="shared" si="136"/>
        <v>1</v>
      </c>
      <c r="AC307" s="415" t="b">
        <f t="shared" si="136"/>
        <v>1</v>
      </c>
      <c r="AD307" s="415" t="b">
        <f t="shared" si="136"/>
        <v>1</v>
      </c>
      <c r="AE307" s="415" t="b">
        <f t="shared" si="136"/>
        <v>1</v>
      </c>
      <c r="AF307" s="415" t="b">
        <f t="shared" si="136"/>
        <v>1</v>
      </c>
      <c r="AG307" s="415" t="b">
        <f t="shared" si="136"/>
        <v>1</v>
      </c>
      <c r="AH307" s="415" t="b">
        <f t="shared" si="136"/>
        <v>1</v>
      </c>
      <c r="AI307" s="415" t="b">
        <f t="shared" si="136"/>
        <v>1</v>
      </c>
      <c r="AJ307" s="415" t="b">
        <f t="shared" si="136"/>
        <v>1</v>
      </c>
      <c r="AK307" s="415" t="b">
        <f t="shared" si="136"/>
        <v>1</v>
      </c>
      <c r="AL307" s="415" t="b">
        <f t="shared" si="136"/>
        <v>1</v>
      </c>
      <c r="AM307" s="415" t="b">
        <f t="shared" si="136"/>
        <v>1</v>
      </c>
      <c r="AN307" s="415" t="b">
        <f t="shared" si="136"/>
        <v>1</v>
      </c>
      <c r="AO307" s="415" t="b">
        <f t="shared" si="136"/>
        <v>1</v>
      </c>
    </row>
    <row r="308" spans="3:43" x14ac:dyDescent="0.35">
      <c r="C308" s="29"/>
      <c r="F308" t="s">
        <v>1062</v>
      </c>
      <c r="G308" t="s">
        <v>912</v>
      </c>
      <c r="J308" s="14" t="b">
        <f t="shared" ref="J308:AO308" si="137">IF(J$32, - J263+J$304&gt;=0, TRUE)</f>
        <v>1</v>
      </c>
      <c r="K308" s="14" t="b">
        <f t="shared" si="137"/>
        <v>1</v>
      </c>
      <c r="L308" s="14" t="b">
        <f t="shared" si="137"/>
        <v>1</v>
      </c>
      <c r="M308" s="14" t="b">
        <f t="shared" si="137"/>
        <v>1</v>
      </c>
      <c r="N308" s="14" t="b">
        <f t="shared" si="137"/>
        <v>1</v>
      </c>
      <c r="O308" s="14" t="b">
        <f t="shared" si="137"/>
        <v>1</v>
      </c>
      <c r="P308" s="14" t="b">
        <f t="shared" si="137"/>
        <v>1</v>
      </c>
      <c r="Q308" s="14" t="b">
        <f t="shared" si="137"/>
        <v>1</v>
      </c>
      <c r="R308" s="14" t="b">
        <f t="shared" si="137"/>
        <v>1</v>
      </c>
      <c r="S308" s="14" t="b">
        <f t="shared" si="137"/>
        <v>1</v>
      </c>
      <c r="T308" s="14" t="b">
        <f t="shared" si="137"/>
        <v>1</v>
      </c>
      <c r="U308" s="14" t="b">
        <f t="shared" si="137"/>
        <v>1</v>
      </c>
      <c r="V308" s="14" t="b">
        <f t="shared" si="137"/>
        <v>1</v>
      </c>
      <c r="W308" s="14" t="b">
        <f t="shared" si="137"/>
        <v>1</v>
      </c>
      <c r="X308" s="14" t="b">
        <f t="shared" si="137"/>
        <v>1</v>
      </c>
      <c r="Y308" s="14" t="b">
        <f t="shared" si="137"/>
        <v>1</v>
      </c>
      <c r="Z308" s="14" t="b">
        <f t="shared" si="137"/>
        <v>1</v>
      </c>
      <c r="AA308" s="14" t="b">
        <f t="shared" si="137"/>
        <v>1</v>
      </c>
      <c r="AB308" s="14" t="b">
        <f t="shared" si="137"/>
        <v>1</v>
      </c>
      <c r="AC308" s="14" t="b">
        <f t="shared" si="137"/>
        <v>1</v>
      </c>
      <c r="AD308" s="14" t="b">
        <f t="shared" si="137"/>
        <v>1</v>
      </c>
      <c r="AE308" s="14" t="b">
        <f t="shared" si="137"/>
        <v>1</v>
      </c>
      <c r="AF308" s="14" t="b">
        <f t="shared" si="137"/>
        <v>1</v>
      </c>
      <c r="AG308" s="14" t="b">
        <f t="shared" si="137"/>
        <v>1</v>
      </c>
      <c r="AH308" s="14" t="b">
        <f t="shared" si="137"/>
        <v>1</v>
      </c>
      <c r="AI308" s="14" t="b">
        <f t="shared" si="137"/>
        <v>1</v>
      </c>
      <c r="AJ308" s="14" t="b">
        <f t="shared" si="137"/>
        <v>1</v>
      </c>
      <c r="AK308" s="14" t="b">
        <f t="shared" si="137"/>
        <v>1</v>
      </c>
      <c r="AL308" s="14" t="b">
        <f t="shared" si="137"/>
        <v>1</v>
      </c>
      <c r="AM308" s="14" t="b">
        <f t="shared" si="137"/>
        <v>1</v>
      </c>
      <c r="AN308" s="14" t="b">
        <f t="shared" si="137"/>
        <v>1</v>
      </c>
      <c r="AO308" s="14" t="b">
        <f t="shared" si="137"/>
        <v>1</v>
      </c>
    </row>
    <row r="309" spans="3:43" x14ac:dyDescent="0.35">
      <c r="C309" s="29"/>
      <c r="F309" s="37" t="s">
        <v>1063</v>
      </c>
      <c r="G309" s="37" t="s">
        <v>912</v>
      </c>
      <c r="H309" s="37"/>
      <c r="I309" s="37"/>
      <c r="J309" s="416" t="b">
        <f t="shared" ref="J309:AO309" si="138">IF(J$32, - J264+J$304&gt;=0, TRUE)</f>
        <v>1</v>
      </c>
      <c r="K309" s="416" t="b">
        <f t="shared" si="138"/>
        <v>1</v>
      </c>
      <c r="L309" s="416" t="b">
        <f t="shared" si="138"/>
        <v>1</v>
      </c>
      <c r="M309" s="416" t="b">
        <f t="shared" si="138"/>
        <v>1</v>
      </c>
      <c r="N309" s="416" t="b">
        <f t="shared" si="138"/>
        <v>1</v>
      </c>
      <c r="O309" s="416" t="b">
        <f t="shared" si="138"/>
        <v>1</v>
      </c>
      <c r="P309" s="416" t="b">
        <f t="shared" si="138"/>
        <v>1</v>
      </c>
      <c r="Q309" s="416" t="b">
        <f t="shared" si="138"/>
        <v>1</v>
      </c>
      <c r="R309" s="416" t="b">
        <f t="shared" si="138"/>
        <v>1</v>
      </c>
      <c r="S309" s="416" t="b">
        <f t="shared" si="138"/>
        <v>1</v>
      </c>
      <c r="T309" s="416" t="b">
        <f t="shared" si="138"/>
        <v>1</v>
      </c>
      <c r="U309" s="416" t="b">
        <f t="shared" si="138"/>
        <v>1</v>
      </c>
      <c r="V309" s="416" t="b">
        <f t="shared" si="138"/>
        <v>1</v>
      </c>
      <c r="W309" s="416" t="b">
        <f t="shared" si="138"/>
        <v>1</v>
      </c>
      <c r="X309" s="416" t="b">
        <f t="shared" si="138"/>
        <v>1</v>
      </c>
      <c r="Y309" s="416" t="b">
        <f t="shared" si="138"/>
        <v>1</v>
      </c>
      <c r="Z309" s="416" t="b">
        <f t="shared" si="138"/>
        <v>1</v>
      </c>
      <c r="AA309" s="416" t="b">
        <f t="shared" si="138"/>
        <v>1</v>
      </c>
      <c r="AB309" s="416" t="b">
        <f t="shared" si="138"/>
        <v>1</v>
      </c>
      <c r="AC309" s="416" t="b">
        <f t="shared" si="138"/>
        <v>1</v>
      </c>
      <c r="AD309" s="416" t="b">
        <f t="shared" si="138"/>
        <v>1</v>
      </c>
      <c r="AE309" s="416" t="b">
        <f t="shared" si="138"/>
        <v>1</v>
      </c>
      <c r="AF309" s="416" t="b">
        <f t="shared" si="138"/>
        <v>1</v>
      </c>
      <c r="AG309" s="416" t="b">
        <f t="shared" si="138"/>
        <v>1</v>
      </c>
      <c r="AH309" s="416" t="b">
        <f t="shared" si="138"/>
        <v>1</v>
      </c>
      <c r="AI309" s="416" t="b">
        <f t="shared" si="138"/>
        <v>1</v>
      </c>
      <c r="AJ309" s="416" t="b">
        <f t="shared" si="138"/>
        <v>1</v>
      </c>
      <c r="AK309" s="416" t="b">
        <f t="shared" si="138"/>
        <v>1</v>
      </c>
      <c r="AL309" s="416" t="b">
        <f t="shared" si="138"/>
        <v>1</v>
      </c>
      <c r="AM309" s="416" t="b">
        <f t="shared" si="138"/>
        <v>1</v>
      </c>
      <c r="AN309" s="416" t="b">
        <f t="shared" si="138"/>
        <v>1</v>
      </c>
      <c r="AO309" s="416" t="b">
        <f t="shared" si="138"/>
        <v>1</v>
      </c>
    </row>
    <row r="310" spans="3:43" x14ac:dyDescent="0.35">
      <c r="C310" s="29"/>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spans="3:43" x14ac:dyDescent="0.35">
      <c r="C311" s="29"/>
      <c r="E311" t="s">
        <v>1082</v>
      </c>
      <c r="G311" t="s">
        <v>912</v>
      </c>
      <c r="J311" s="14" t="b">
        <f>COUNTIF(J307:J309,TRUE)=3</f>
        <v>1</v>
      </c>
      <c r="K311" s="14" t="b">
        <f t="shared" ref="K311:AO311" si="139">COUNTIF(K307:K309,TRUE)=3</f>
        <v>1</v>
      </c>
      <c r="L311" s="14" t="b">
        <f t="shared" si="139"/>
        <v>1</v>
      </c>
      <c r="M311" s="14" t="b">
        <f t="shared" si="139"/>
        <v>1</v>
      </c>
      <c r="N311" s="14" t="b">
        <f t="shared" si="139"/>
        <v>1</v>
      </c>
      <c r="O311" s="14" t="b">
        <f t="shared" si="139"/>
        <v>1</v>
      </c>
      <c r="P311" s="14" t="b">
        <f t="shared" si="139"/>
        <v>1</v>
      </c>
      <c r="Q311" s="14" t="b">
        <f t="shared" si="139"/>
        <v>1</v>
      </c>
      <c r="R311" s="14" t="b">
        <f t="shared" si="139"/>
        <v>1</v>
      </c>
      <c r="S311" s="14" t="b">
        <f t="shared" si="139"/>
        <v>1</v>
      </c>
      <c r="T311" s="14" t="b">
        <f t="shared" si="139"/>
        <v>1</v>
      </c>
      <c r="U311" s="14" t="b">
        <f t="shared" si="139"/>
        <v>1</v>
      </c>
      <c r="V311" s="14" t="b">
        <f t="shared" si="139"/>
        <v>1</v>
      </c>
      <c r="W311" s="14" t="b">
        <f t="shared" si="139"/>
        <v>1</v>
      </c>
      <c r="X311" s="14" t="b">
        <f t="shared" si="139"/>
        <v>1</v>
      </c>
      <c r="Y311" s="14" t="b">
        <f t="shared" si="139"/>
        <v>1</v>
      </c>
      <c r="Z311" s="14" t="b">
        <f t="shared" si="139"/>
        <v>1</v>
      </c>
      <c r="AA311" s="14" t="b">
        <f t="shared" si="139"/>
        <v>1</v>
      </c>
      <c r="AB311" s="14" t="b">
        <f t="shared" si="139"/>
        <v>1</v>
      </c>
      <c r="AC311" s="14" t="b">
        <f t="shared" si="139"/>
        <v>1</v>
      </c>
      <c r="AD311" s="14" t="b">
        <f t="shared" si="139"/>
        <v>1</v>
      </c>
      <c r="AE311" s="14" t="b">
        <f t="shared" si="139"/>
        <v>1</v>
      </c>
      <c r="AF311" s="14" t="b">
        <f t="shared" si="139"/>
        <v>1</v>
      </c>
      <c r="AG311" s="14" t="b">
        <f t="shared" si="139"/>
        <v>1</v>
      </c>
      <c r="AH311" s="14" t="b">
        <f t="shared" si="139"/>
        <v>1</v>
      </c>
      <c r="AI311" s="14" t="b">
        <f t="shared" si="139"/>
        <v>1</v>
      </c>
      <c r="AJ311" s="14" t="b">
        <f t="shared" si="139"/>
        <v>1</v>
      </c>
      <c r="AK311" s="14" t="b">
        <f t="shared" si="139"/>
        <v>1</v>
      </c>
      <c r="AL311" s="14" t="b">
        <f t="shared" si="139"/>
        <v>1</v>
      </c>
      <c r="AM311" s="14" t="b">
        <f t="shared" si="139"/>
        <v>1</v>
      </c>
      <c r="AN311" s="14" t="b">
        <f t="shared" si="139"/>
        <v>1</v>
      </c>
      <c r="AO311" s="14" t="b">
        <f t="shared" si="139"/>
        <v>1</v>
      </c>
    </row>
    <row r="312" spans="3:43" x14ac:dyDescent="0.35">
      <c r="C312" s="29"/>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spans="3:43" x14ac:dyDescent="0.35">
      <c r="C313" s="31" t="str">
        <f ca="1">INDEX('Version control'!$H$34:$H$57,MATCH($A$1,'Version control'!$F$34:$F$57,0),1)&amp;"-L: Revenue matching for two timebands"</f>
        <v>Section 116-L: Revenue matching for two timebands</v>
      </c>
      <c r="D313" s="31"/>
      <c r="E313" s="31"/>
      <c r="F313" s="31"/>
      <c r="G313" s="31"/>
      <c r="H313" s="31"/>
      <c r="I313" s="31"/>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31"/>
      <c r="AQ313" s="31"/>
    </row>
    <row r="314" spans="3:43" x14ac:dyDescent="0.35">
      <c r="C314" s="29"/>
      <c r="E314" s="32"/>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spans="3:43" x14ac:dyDescent="0.35">
      <c r="C315" s="29"/>
      <c r="D315" s="29" t="s">
        <v>1152</v>
      </c>
      <c r="E315" s="32"/>
      <c r="I315" t="s">
        <v>154</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Q315" t="s">
        <v>1128</v>
      </c>
    </row>
    <row r="316" spans="3:43" x14ac:dyDescent="0.35">
      <c r="C316" s="29"/>
      <c r="D316" s="29" t="s">
        <v>1083</v>
      </c>
      <c r="E316" s="32"/>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spans="3:43" x14ac:dyDescent="0.35">
      <c r="C317" s="29"/>
      <c r="D317" s="29" t="s">
        <v>1084</v>
      </c>
      <c r="E317" s="32"/>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spans="3:43" x14ac:dyDescent="0.35">
      <c r="C318" s="29"/>
      <c r="D318" s="29" t="s">
        <v>1085</v>
      </c>
      <c r="E318" s="32"/>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spans="3:43" x14ac:dyDescent="0.35">
      <c r="C319" s="29"/>
      <c r="E319" s="32"/>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spans="3:43" x14ac:dyDescent="0.35">
      <c r="C320" s="29"/>
      <c r="E320" s="32" t="s">
        <v>1086</v>
      </c>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spans="3:44" x14ac:dyDescent="0.35">
      <c r="C321" s="29"/>
      <c r="F321" s="24" t="s">
        <v>1087</v>
      </c>
      <c r="G321" t="s">
        <v>936</v>
      </c>
      <c r="J321" s="163">
        <f t="shared" ref="J321:AO321" si="140">J262*J282*thousand/hundred</f>
        <v>0</v>
      </c>
      <c r="K321" s="163">
        <f t="shared" si="140"/>
        <v>0</v>
      </c>
      <c r="L321" s="163">
        <f t="shared" si="140"/>
        <v>0</v>
      </c>
      <c r="M321" s="163">
        <f t="shared" si="140"/>
        <v>0</v>
      </c>
      <c r="N321" s="163">
        <f t="shared" si="140"/>
        <v>0</v>
      </c>
      <c r="O321" s="163">
        <f t="shared" si="140"/>
        <v>0</v>
      </c>
      <c r="P321" s="163">
        <f t="shared" si="140"/>
        <v>0</v>
      </c>
      <c r="Q321" s="163">
        <f t="shared" si="140"/>
        <v>0</v>
      </c>
      <c r="R321" s="163">
        <f t="shared" si="140"/>
        <v>0</v>
      </c>
      <c r="S321" s="163">
        <f t="shared" si="140"/>
        <v>0</v>
      </c>
      <c r="T321" s="163">
        <f t="shared" si="140"/>
        <v>0</v>
      </c>
      <c r="U321" s="163">
        <f t="shared" si="140"/>
        <v>0</v>
      </c>
      <c r="V321" s="163">
        <f t="shared" si="140"/>
        <v>0</v>
      </c>
      <c r="W321" s="163">
        <f t="shared" si="140"/>
        <v>0</v>
      </c>
      <c r="X321" s="163">
        <f t="shared" si="140"/>
        <v>0</v>
      </c>
      <c r="Y321" s="163">
        <f t="shared" si="140"/>
        <v>0</v>
      </c>
      <c r="Z321" s="163">
        <f t="shared" si="140"/>
        <v>0</v>
      </c>
      <c r="AA321" s="163">
        <f t="shared" si="140"/>
        <v>0</v>
      </c>
      <c r="AB321" s="163">
        <f t="shared" si="140"/>
        <v>0</v>
      </c>
      <c r="AC321" s="163">
        <f t="shared" si="140"/>
        <v>0</v>
      </c>
      <c r="AD321" s="163">
        <f t="shared" si="140"/>
        <v>0</v>
      </c>
      <c r="AE321" s="163">
        <f t="shared" si="140"/>
        <v>0</v>
      </c>
      <c r="AF321" s="163">
        <f t="shared" si="140"/>
        <v>0</v>
      </c>
      <c r="AG321" s="163">
        <f t="shared" si="140"/>
        <v>0</v>
      </c>
      <c r="AH321" s="163">
        <f t="shared" si="140"/>
        <v>0</v>
      </c>
      <c r="AI321" s="163">
        <f t="shared" si="140"/>
        <v>0</v>
      </c>
      <c r="AJ321" s="163">
        <f t="shared" si="140"/>
        <v>0</v>
      </c>
      <c r="AK321" s="163">
        <f t="shared" si="140"/>
        <v>0</v>
      </c>
      <c r="AL321" s="163">
        <f t="shared" si="140"/>
        <v>0</v>
      </c>
      <c r="AM321" s="163">
        <f t="shared" si="140"/>
        <v>0</v>
      </c>
      <c r="AN321" s="163">
        <f t="shared" si="140"/>
        <v>0</v>
      </c>
      <c r="AO321" s="163">
        <f t="shared" si="140"/>
        <v>0</v>
      </c>
    </row>
    <row r="322" spans="3:44" x14ac:dyDescent="0.35">
      <c r="C322" s="29"/>
      <c r="F322" s="32"/>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spans="3:44" x14ac:dyDescent="0.35">
      <c r="C323" s="29"/>
      <c r="F323" s="417" t="s">
        <v>1088</v>
      </c>
      <c r="G323" t="s">
        <v>936</v>
      </c>
      <c r="J323" s="163">
        <f t="shared" ref="J323:AO323" si="141">J228 - J321</f>
        <v>0</v>
      </c>
      <c r="K323" s="163">
        <f t="shared" si="141"/>
        <v>0</v>
      </c>
      <c r="L323" s="163">
        <f t="shared" si="141"/>
        <v>0</v>
      </c>
      <c r="M323" s="163">
        <f t="shared" si="141"/>
        <v>0</v>
      </c>
      <c r="N323" s="163">
        <f t="shared" si="141"/>
        <v>0</v>
      </c>
      <c r="O323" s="163">
        <f t="shared" si="141"/>
        <v>0</v>
      </c>
      <c r="P323" s="163">
        <f t="shared" si="141"/>
        <v>0</v>
      </c>
      <c r="Q323" s="163">
        <f t="shared" si="141"/>
        <v>0</v>
      </c>
      <c r="R323" s="163">
        <f t="shared" si="141"/>
        <v>0</v>
      </c>
      <c r="S323" s="163">
        <f t="shared" si="141"/>
        <v>0</v>
      </c>
      <c r="T323" s="163">
        <f t="shared" si="141"/>
        <v>0</v>
      </c>
      <c r="U323" s="163">
        <f t="shared" si="141"/>
        <v>0</v>
      </c>
      <c r="V323" s="163">
        <f t="shared" si="141"/>
        <v>0</v>
      </c>
      <c r="W323" s="163">
        <f t="shared" si="141"/>
        <v>0</v>
      </c>
      <c r="X323" s="163">
        <f t="shared" si="141"/>
        <v>0</v>
      </c>
      <c r="Y323" s="163">
        <f t="shared" si="141"/>
        <v>0</v>
      </c>
      <c r="Z323" s="163">
        <f t="shared" si="141"/>
        <v>0</v>
      </c>
      <c r="AA323" s="163">
        <f t="shared" si="141"/>
        <v>0</v>
      </c>
      <c r="AB323" s="163">
        <f t="shared" si="141"/>
        <v>0</v>
      </c>
      <c r="AC323" s="163">
        <f t="shared" si="141"/>
        <v>0</v>
      </c>
      <c r="AD323" s="163">
        <f t="shared" si="141"/>
        <v>0</v>
      </c>
      <c r="AE323" s="163">
        <f t="shared" si="141"/>
        <v>0</v>
      </c>
      <c r="AF323" s="163">
        <f t="shared" si="141"/>
        <v>0</v>
      </c>
      <c r="AG323" s="163">
        <f t="shared" si="141"/>
        <v>0</v>
      </c>
      <c r="AH323" s="163">
        <f t="shared" si="141"/>
        <v>0</v>
      </c>
      <c r="AI323" s="163">
        <f t="shared" si="141"/>
        <v>0</v>
      </c>
      <c r="AJ323" s="163">
        <f t="shared" si="141"/>
        <v>0</v>
      </c>
      <c r="AK323" s="163">
        <f t="shared" si="141"/>
        <v>0</v>
      </c>
      <c r="AL323" s="163">
        <f t="shared" si="141"/>
        <v>0</v>
      </c>
      <c r="AM323" s="163">
        <f t="shared" si="141"/>
        <v>0</v>
      </c>
      <c r="AN323" s="163">
        <f t="shared" si="141"/>
        <v>0</v>
      </c>
      <c r="AO323" s="163">
        <f t="shared" si="141"/>
        <v>0</v>
      </c>
    </row>
    <row r="324" spans="3:44" x14ac:dyDescent="0.35">
      <c r="C324" s="29"/>
      <c r="F324" s="32"/>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3:44" x14ac:dyDescent="0.35">
      <c r="C325" s="29"/>
      <c r="F325" t="s">
        <v>1077</v>
      </c>
      <c r="G325" t="s">
        <v>936</v>
      </c>
      <c r="J325" s="163">
        <f>SUMIF($J$149:$AO$149,J$149,$J323:$AO323)</f>
        <v>0</v>
      </c>
      <c r="K325" s="163">
        <f t="shared" ref="K325:AO325" si="142">SUMIF($J$149:$AO$149,K$149,$J323:$AO323)</f>
        <v>0</v>
      </c>
      <c r="L325" s="163">
        <f t="shared" si="142"/>
        <v>0</v>
      </c>
      <c r="M325" s="163">
        <f t="shared" si="142"/>
        <v>0</v>
      </c>
      <c r="N325" s="163">
        <f t="shared" si="142"/>
        <v>0</v>
      </c>
      <c r="O325" s="163">
        <f t="shared" si="142"/>
        <v>0</v>
      </c>
      <c r="P325" s="163">
        <f t="shared" si="142"/>
        <v>0</v>
      </c>
      <c r="Q325" s="163">
        <f t="shared" si="142"/>
        <v>0</v>
      </c>
      <c r="R325" s="163">
        <f t="shared" si="142"/>
        <v>0</v>
      </c>
      <c r="S325" s="163">
        <f t="shared" si="142"/>
        <v>0</v>
      </c>
      <c r="T325" s="163">
        <f t="shared" si="142"/>
        <v>0</v>
      </c>
      <c r="U325" s="163">
        <f t="shared" si="142"/>
        <v>0</v>
      </c>
      <c r="V325" s="163">
        <f t="shared" si="142"/>
        <v>0</v>
      </c>
      <c r="W325" s="163">
        <f t="shared" si="142"/>
        <v>0</v>
      </c>
      <c r="X325" s="163">
        <f t="shared" si="142"/>
        <v>0</v>
      </c>
      <c r="Y325" s="163">
        <f t="shared" si="142"/>
        <v>0</v>
      </c>
      <c r="Z325" s="163">
        <f t="shared" si="142"/>
        <v>0</v>
      </c>
      <c r="AA325" s="163">
        <f t="shared" si="142"/>
        <v>0</v>
      </c>
      <c r="AB325" s="163">
        <f t="shared" si="142"/>
        <v>0</v>
      </c>
      <c r="AC325" s="163">
        <f t="shared" si="142"/>
        <v>0</v>
      </c>
      <c r="AD325" s="163">
        <f t="shared" si="142"/>
        <v>0</v>
      </c>
      <c r="AE325" s="163">
        <f t="shared" si="142"/>
        <v>0</v>
      </c>
      <c r="AF325" s="163">
        <f t="shared" si="142"/>
        <v>0</v>
      </c>
      <c r="AG325" s="163">
        <f t="shared" si="142"/>
        <v>0</v>
      </c>
      <c r="AH325" s="163">
        <f t="shared" si="142"/>
        <v>0</v>
      </c>
      <c r="AI325" s="163">
        <f t="shared" si="142"/>
        <v>0</v>
      </c>
      <c r="AJ325" s="163">
        <f t="shared" si="142"/>
        <v>0</v>
      </c>
      <c r="AK325" s="163">
        <f t="shared" si="142"/>
        <v>0</v>
      </c>
      <c r="AL325" s="163">
        <f t="shared" si="142"/>
        <v>0</v>
      </c>
      <c r="AM325" s="163">
        <f t="shared" si="142"/>
        <v>0</v>
      </c>
      <c r="AN325" s="163">
        <f t="shared" si="142"/>
        <v>0</v>
      </c>
      <c r="AO325" s="163">
        <f t="shared" si="142"/>
        <v>0</v>
      </c>
    </row>
    <row r="326" spans="3:44" x14ac:dyDescent="0.35">
      <c r="C326" s="29"/>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spans="3:44" x14ac:dyDescent="0.35">
      <c r="C327" s="29"/>
      <c r="F327" t="s">
        <v>1078</v>
      </c>
      <c r="G327" t="s">
        <v>936</v>
      </c>
      <c r="J327" s="163">
        <f t="shared" ref="J327:AO327" si="143" xml:space="preserve"> J325 * J157</f>
        <v>0</v>
      </c>
      <c r="K327" s="163">
        <f t="shared" si="143"/>
        <v>0</v>
      </c>
      <c r="L327" s="163">
        <f t="shared" si="143"/>
        <v>0</v>
      </c>
      <c r="M327" s="163">
        <f t="shared" si="143"/>
        <v>0</v>
      </c>
      <c r="N327" s="163">
        <f t="shared" si="143"/>
        <v>0</v>
      </c>
      <c r="O327" s="163">
        <f t="shared" si="143"/>
        <v>0</v>
      </c>
      <c r="P327" s="163">
        <f t="shared" si="143"/>
        <v>0</v>
      </c>
      <c r="Q327" s="163">
        <f t="shared" si="143"/>
        <v>0</v>
      </c>
      <c r="R327" s="163">
        <f t="shared" si="143"/>
        <v>0</v>
      </c>
      <c r="S327" s="163">
        <f t="shared" si="143"/>
        <v>0</v>
      </c>
      <c r="T327" s="163">
        <f t="shared" si="143"/>
        <v>0</v>
      </c>
      <c r="U327" s="163">
        <f t="shared" si="143"/>
        <v>0</v>
      </c>
      <c r="V327" s="163">
        <f t="shared" si="143"/>
        <v>0</v>
      </c>
      <c r="W327" s="163">
        <f t="shared" si="143"/>
        <v>0</v>
      </c>
      <c r="X327" s="163">
        <f t="shared" si="143"/>
        <v>0</v>
      </c>
      <c r="Y327" s="163">
        <f t="shared" si="143"/>
        <v>0</v>
      </c>
      <c r="Z327" s="163">
        <f t="shared" si="143"/>
        <v>0</v>
      </c>
      <c r="AA327" s="163">
        <f t="shared" si="143"/>
        <v>0</v>
      </c>
      <c r="AB327" s="163">
        <f t="shared" si="143"/>
        <v>0</v>
      </c>
      <c r="AC327" s="163">
        <f t="shared" si="143"/>
        <v>0</v>
      </c>
      <c r="AD327" s="163">
        <f t="shared" si="143"/>
        <v>0</v>
      </c>
      <c r="AE327" s="163">
        <f t="shared" si="143"/>
        <v>0</v>
      </c>
      <c r="AF327" s="163">
        <f t="shared" si="143"/>
        <v>0</v>
      </c>
      <c r="AG327" s="163">
        <f t="shared" si="143"/>
        <v>0</v>
      </c>
      <c r="AH327" s="163">
        <f t="shared" si="143"/>
        <v>0</v>
      </c>
      <c r="AI327" s="163">
        <f t="shared" si="143"/>
        <v>0</v>
      </c>
      <c r="AJ327" s="163">
        <f t="shared" si="143"/>
        <v>0</v>
      </c>
      <c r="AK327" s="163">
        <f t="shared" si="143"/>
        <v>0</v>
      </c>
      <c r="AL327" s="163">
        <f t="shared" si="143"/>
        <v>0</v>
      </c>
      <c r="AM327" s="163">
        <f t="shared" si="143"/>
        <v>0</v>
      </c>
      <c r="AN327" s="163">
        <f t="shared" si="143"/>
        <v>0</v>
      </c>
      <c r="AO327" s="163">
        <f t="shared" si="143"/>
        <v>0</v>
      </c>
    </row>
    <row r="328" spans="3:44" x14ac:dyDescent="0.35">
      <c r="C328" s="29"/>
      <c r="F328" s="2"/>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spans="3:44" x14ac:dyDescent="0.35">
      <c r="C329" s="29"/>
      <c r="E329" s="32" t="s">
        <v>1026</v>
      </c>
      <c r="F329" s="2"/>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spans="3:44" x14ac:dyDescent="0.35">
      <c r="C330" s="29"/>
      <c r="F330" s="410" t="s">
        <v>1089</v>
      </c>
      <c r="G330" t="s">
        <v>207</v>
      </c>
      <c r="J330" s="163">
        <f t="shared" ref="J330:AO330" si="144">SUM(J283:J284)</f>
        <v>0</v>
      </c>
      <c r="K330" s="163">
        <f t="shared" si="144"/>
        <v>0</v>
      </c>
      <c r="L330" s="163">
        <f t="shared" si="144"/>
        <v>0</v>
      </c>
      <c r="M330" s="163">
        <f t="shared" si="144"/>
        <v>0</v>
      </c>
      <c r="N330" s="163">
        <f t="shared" si="144"/>
        <v>0</v>
      </c>
      <c r="O330" s="163">
        <f t="shared" si="144"/>
        <v>0</v>
      </c>
      <c r="P330" s="163">
        <f t="shared" si="144"/>
        <v>0</v>
      </c>
      <c r="Q330" s="163">
        <f t="shared" si="144"/>
        <v>0</v>
      </c>
      <c r="R330" s="163">
        <f t="shared" si="144"/>
        <v>0</v>
      </c>
      <c r="S330" s="163">
        <f t="shared" si="144"/>
        <v>0</v>
      </c>
      <c r="T330" s="163">
        <f t="shared" si="144"/>
        <v>0</v>
      </c>
      <c r="U330" s="163">
        <f t="shared" si="144"/>
        <v>0</v>
      </c>
      <c r="V330" s="163">
        <f t="shared" si="144"/>
        <v>0</v>
      </c>
      <c r="W330" s="163">
        <f t="shared" si="144"/>
        <v>0</v>
      </c>
      <c r="X330" s="163">
        <f t="shared" si="144"/>
        <v>0</v>
      </c>
      <c r="Y330" s="163">
        <f t="shared" si="144"/>
        <v>0</v>
      </c>
      <c r="Z330" s="163">
        <f t="shared" si="144"/>
        <v>0</v>
      </c>
      <c r="AA330" s="163">
        <f t="shared" si="144"/>
        <v>0</v>
      </c>
      <c r="AB330" s="163">
        <f t="shared" si="144"/>
        <v>0</v>
      </c>
      <c r="AC330" s="163">
        <f t="shared" si="144"/>
        <v>0</v>
      </c>
      <c r="AD330" s="163">
        <f t="shared" si="144"/>
        <v>0</v>
      </c>
      <c r="AE330" s="163">
        <f t="shared" si="144"/>
        <v>0</v>
      </c>
      <c r="AF330" s="163">
        <f t="shared" si="144"/>
        <v>0</v>
      </c>
      <c r="AG330" s="163">
        <f t="shared" si="144"/>
        <v>0</v>
      </c>
      <c r="AH330" s="163">
        <f t="shared" si="144"/>
        <v>0</v>
      </c>
      <c r="AI330" s="163">
        <f t="shared" si="144"/>
        <v>0</v>
      </c>
      <c r="AJ330" s="163">
        <f t="shared" si="144"/>
        <v>0</v>
      </c>
      <c r="AK330" s="163">
        <f t="shared" si="144"/>
        <v>0</v>
      </c>
      <c r="AL330" s="163">
        <f t="shared" si="144"/>
        <v>0</v>
      </c>
      <c r="AM330" s="163">
        <f t="shared" si="144"/>
        <v>0</v>
      </c>
      <c r="AN330" s="163">
        <f t="shared" si="144"/>
        <v>0</v>
      </c>
      <c r="AO330" s="163">
        <f t="shared" si="144"/>
        <v>0</v>
      </c>
    </row>
    <row r="331" spans="3:44" x14ac:dyDescent="0.35">
      <c r="C331" s="29"/>
      <c r="F331" s="2"/>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spans="3:44" x14ac:dyDescent="0.35">
      <c r="C332" s="29"/>
      <c r="F332" t="s">
        <v>1028</v>
      </c>
      <c r="G332" t="s">
        <v>207</v>
      </c>
      <c r="J332" s="163">
        <f>SUMIF($J$149:$AO$149,J$149,$J330:$AO330)</f>
        <v>0</v>
      </c>
      <c r="K332" s="163">
        <f t="shared" ref="K332:AO332" si="145">SUMIF($J$149:$AO$149,K$149,$J330:$AO330)</f>
        <v>0</v>
      </c>
      <c r="L332" s="163">
        <f t="shared" si="145"/>
        <v>0</v>
      </c>
      <c r="M332" s="163">
        <f t="shared" si="145"/>
        <v>0</v>
      </c>
      <c r="N332" s="163">
        <f t="shared" si="145"/>
        <v>0</v>
      </c>
      <c r="O332" s="163">
        <f t="shared" si="145"/>
        <v>0</v>
      </c>
      <c r="P332" s="163">
        <f t="shared" si="145"/>
        <v>0</v>
      </c>
      <c r="Q332" s="163">
        <f t="shared" si="145"/>
        <v>0</v>
      </c>
      <c r="R332" s="163">
        <f t="shared" si="145"/>
        <v>0</v>
      </c>
      <c r="S332" s="163">
        <f t="shared" si="145"/>
        <v>0</v>
      </c>
      <c r="T332" s="163">
        <f t="shared" si="145"/>
        <v>0</v>
      </c>
      <c r="U332" s="163">
        <f t="shared" si="145"/>
        <v>0</v>
      </c>
      <c r="V332" s="163">
        <f t="shared" si="145"/>
        <v>0</v>
      </c>
      <c r="W332" s="163">
        <f t="shared" si="145"/>
        <v>0</v>
      </c>
      <c r="X332" s="163">
        <f t="shared" si="145"/>
        <v>0</v>
      </c>
      <c r="Y332" s="163">
        <f t="shared" si="145"/>
        <v>0</v>
      </c>
      <c r="Z332" s="163">
        <f t="shared" si="145"/>
        <v>0</v>
      </c>
      <c r="AA332" s="163">
        <f t="shared" si="145"/>
        <v>0</v>
      </c>
      <c r="AB332" s="163">
        <f t="shared" si="145"/>
        <v>0</v>
      </c>
      <c r="AC332" s="163">
        <f t="shared" si="145"/>
        <v>0</v>
      </c>
      <c r="AD332" s="163">
        <f t="shared" si="145"/>
        <v>0</v>
      </c>
      <c r="AE332" s="163">
        <f t="shared" si="145"/>
        <v>0</v>
      </c>
      <c r="AF332" s="163">
        <f t="shared" si="145"/>
        <v>0</v>
      </c>
      <c r="AG332" s="163">
        <f t="shared" si="145"/>
        <v>0</v>
      </c>
      <c r="AH332" s="163">
        <f t="shared" si="145"/>
        <v>0</v>
      </c>
      <c r="AI332" s="163">
        <f t="shared" si="145"/>
        <v>0</v>
      </c>
      <c r="AJ332" s="163">
        <f t="shared" si="145"/>
        <v>0</v>
      </c>
      <c r="AK332" s="163">
        <f t="shared" si="145"/>
        <v>0</v>
      </c>
      <c r="AL332" s="163">
        <f t="shared" si="145"/>
        <v>0</v>
      </c>
      <c r="AM332" s="163">
        <f t="shared" si="145"/>
        <v>0</v>
      </c>
      <c r="AN332" s="163">
        <f t="shared" si="145"/>
        <v>0</v>
      </c>
      <c r="AO332" s="163">
        <f t="shared" si="145"/>
        <v>0</v>
      </c>
    </row>
    <row r="333" spans="3:44" x14ac:dyDescent="0.35">
      <c r="C333" s="29"/>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spans="3:44" x14ac:dyDescent="0.35">
      <c r="C334" s="29"/>
      <c r="F334" t="s">
        <v>1030</v>
      </c>
      <c r="G334" t="s">
        <v>207</v>
      </c>
      <c r="J334" s="163">
        <f xml:space="preserve"> J332 * J$157</f>
        <v>0</v>
      </c>
      <c r="K334" s="163">
        <f t="shared" ref="K334:AO334" si="146" xml:space="preserve"> K332 * K$157</f>
        <v>0</v>
      </c>
      <c r="L334" s="163">
        <f t="shared" si="146"/>
        <v>0</v>
      </c>
      <c r="M334" s="163">
        <f t="shared" si="146"/>
        <v>0</v>
      </c>
      <c r="N334" s="163">
        <f t="shared" si="146"/>
        <v>0</v>
      </c>
      <c r="O334" s="163">
        <f t="shared" si="146"/>
        <v>0</v>
      </c>
      <c r="P334" s="163">
        <f t="shared" si="146"/>
        <v>0</v>
      </c>
      <c r="Q334" s="163">
        <f t="shared" si="146"/>
        <v>0</v>
      </c>
      <c r="R334" s="163">
        <f t="shared" si="146"/>
        <v>0</v>
      </c>
      <c r="S334" s="163">
        <f t="shared" si="146"/>
        <v>0</v>
      </c>
      <c r="T334" s="163">
        <f t="shared" si="146"/>
        <v>0</v>
      </c>
      <c r="U334" s="163">
        <f t="shared" si="146"/>
        <v>0</v>
      </c>
      <c r="V334" s="163">
        <f t="shared" si="146"/>
        <v>0</v>
      </c>
      <c r="W334" s="163">
        <f t="shared" si="146"/>
        <v>0</v>
      </c>
      <c r="X334" s="163">
        <f t="shared" si="146"/>
        <v>0</v>
      </c>
      <c r="Y334" s="163">
        <f t="shared" si="146"/>
        <v>0</v>
      </c>
      <c r="Z334" s="163">
        <f t="shared" si="146"/>
        <v>0</v>
      </c>
      <c r="AA334" s="163">
        <f t="shared" si="146"/>
        <v>0</v>
      </c>
      <c r="AB334" s="163">
        <f t="shared" si="146"/>
        <v>0</v>
      </c>
      <c r="AC334" s="163">
        <f t="shared" si="146"/>
        <v>0</v>
      </c>
      <c r="AD334" s="163">
        <f t="shared" si="146"/>
        <v>0</v>
      </c>
      <c r="AE334" s="163">
        <f t="shared" si="146"/>
        <v>0</v>
      </c>
      <c r="AF334" s="163">
        <f t="shared" si="146"/>
        <v>0</v>
      </c>
      <c r="AG334" s="163">
        <f t="shared" si="146"/>
        <v>0</v>
      </c>
      <c r="AH334" s="163">
        <f t="shared" si="146"/>
        <v>0</v>
      </c>
      <c r="AI334" s="163">
        <f t="shared" si="146"/>
        <v>0</v>
      </c>
      <c r="AJ334" s="163">
        <f t="shared" si="146"/>
        <v>0</v>
      </c>
      <c r="AK334" s="163">
        <f t="shared" si="146"/>
        <v>0</v>
      </c>
      <c r="AL334" s="163">
        <f t="shared" si="146"/>
        <v>0</v>
      </c>
      <c r="AM334" s="163">
        <f t="shared" si="146"/>
        <v>0</v>
      </c>
      <c r="AN334" s="163">
        <f t="shared" si="146"/>
        <v>0</v>
      </c>
      <c r="AO334" s="163">
        <f t="shared" si="146"/>
        <v>0</v>
      </c>
      <c r="AP334" s="14"/>
      <c r="AQ334" s="14"/>
      <c r="AR334" s="14"/>
    </row>
    <row r="335" spans="3:44" x14ac:dyDescent="0.35">
      <c r="C335" s="29"/>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spans="3:44" x14ac:dyDescent="0.35">
      <c r="C336" s="29"/>
      <c r="E336" s="410" t="s">
        <v>1090</v>
      </c>
      <c r="G336" t="s">
        <v>269</v>
      </c>
      <c r="J336" s="338">
        <f t="shared" ref="J336:AO336" si="147">IF( J334&lt;&gt;0, J327/J334, 0)*hundred/thousand</f>
        <v>0</v>
      </c>
      <c r="K336" s="338">
        <f t="shared" si="147"/>
        <v>0</v>
      </c>
      <c r="L336" s="338">
        <f t="shared" si="147"/>
        <v>0</v>
      </c>
      <c r="M336" s="338">
        <f t="shared" si="147"/>
        <v>0</v>
      </c>
      <c r="N336" s="338">
        <f t="shared" si="147"/>
        <v>0</v>
      </c>
      <c r="O336" s="338">
        <f t="shared" si="147"/>
        <v>0</v>
      </c>
      <c r="P336" s="338">
        <f t="shared" si="147"/>
        <v>0</v>
      </c>
      <c r="Q336" s="338">
        <f t="shared" si="147"/>
        <v>0</v>
      </c>
      <c r="R336" s="338">
        <f t="shared" si="147"/>
        <v>0</v>
      </c>
      <c r="S336" s="338">
        <f t="shared" si="147"/>
        <v>0</v>
      </c>
      <c r="T336" s="338">
        <f t="shared" si="147"/>
        <v>0</v>
      </c>
      <c r="U336" s="338">
        <f t="shared" si="147"/>
        <v>0</v>
      </c>
      <c r="V336" s="338">
        <f t="shared" si="147"/>
        <v>0</v>
      </c>
      <c r="W336" s="338">
        <f t="shared" si="147"/>
        <v>0</v>
      </c>
      <c r="X336" s="338">
        <f t="shared" si="147"/>
        <v>0</v>
      </c>
      <c r="Y336" s="338">
        <f t="shared" si="147"/>
        <v>0</v>
      </c>
      <c r="Z336" s="338">
        <f t="shared" si="147"/>
        <v>0</v>
      </c>
      <c r="AA336" s="338">
        <f t="shared" si="147"/>
        <v>0</v>
      </c>
      <c r="AB336" s="338">
        <f t="shared" si="147"/>
        <v>0</v>
      </c>
      <c r="AC336" s="338">
        <f t="shared" si="147"/>
        <v>0</v>
      </c>
      <c r="AD336" s="338">
        <f t="shared" si="147"/>
        <v>0</v>
      </c>
      <c r="AE336" s="338">
        <f t="shared" si="147"/>
        <v>0</v>
      </c>
      <c r="AF336" s="338">
        <f t="shared" si="147"/>
        <v>0</v>
      </c>
      <c r="AG336" s="338">
        <f t="shared" si="147"/>
        <v>0</v>
      </c>
      <c r="AH336" s="338">
        <f t="shared" si="147"/>
        <v>0</v>
      </c>
      <c r="AI336" s="338">
        <f t="shared" si="147"/>
        <v>0</v>
      </c>
      <c r="AJ336" s="338">
        <f t="shared" si="147"/>
        <v>0</v>
      </c>
      <c r="AK336" s="338">
        <f t="shared" si="147"/>
        <v>0</v>
      </c>
      <c r="AL336" s="338">
        <f t="shared" si="147"/>
        <v>0</v>
      </c>
      <c r="AM336" s="338">
        <f t="shared" si="147"/>
        <v>0</v>
      </c>
      <c r="AN336" s="338">
        <f t="shared" si="147"/>
        <v>0</v>
      </c>
      <c r="AO336" s="338">
        <f t="shared" si="147"/>
        <v>0</v>
      </c>
    </row>
    <row r="337" spans="3:43" x14ac:dyDescent="0.35">
      <c r="C337" s="29"/>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3:43" x14ac:dyDescent="0.35">
      <c r="C338" s="29"/>
      <c r="E338" s="32" t="s">
        <v>1091</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3:43" x14ac:dyDescent="0.35">
      <c r="C339" s="29"/>
      <c r="F339" s="23" t="s">
        <v>1061</v>
      </c>
      <c r="G339" s="23" t="s">
        <v>912</v>
      </c>
      <c r="H339" s="23"/>
      <c r="I339" s="23"/>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row>
    <row r="340" spans="3:43" x14ac:dyDescent="0.35">
      <c r="C340" s="29"/>
      <c r="F340" t="s">
        <v>1062</v>
      </c>
      <c r="G340" t="s">
        <v>912</v>
      </c>
      <c r="J340" s="14" t="b">
        <f t="shared" ref="J340:AO340" si="148">IF(J$32, -J263+J$336&gt;=0, TRUE)</f>
        <v>1</v>
      </c>
      <c r="K340" s="14" t="b">
        <f t="shared" si="148"/>
        <v>1</v>
      </c>
      <c r="L340" s="14" t="b">
        <f t="shared" si="148"/>
        <v>1</v>
      </c>
      <c r="M340" s="14" t="b">
        <f t="shared" si="148"/>
        <v>1</v>
      </c>
      <c r="N340" s="14" t="b">
        <f t="shared" si="148"/>
        <v>1</v>
      </c>
      <c r="O340" s="14" t="b">
        <f t="shared" si="148"/>
        <v>1</v>
      </c>
      <c r="P340" s="14" t="b">
        <f t="shared" si="148"/>
        <v>1</v>
      </c>
      <c r="Q340" s="14" t="b">
        <f t="shared" si="148"/>
        <v>1</v>
      </c>
      <c r="R340" s="14" t="b">
        <f t="shared" si="148"/>
        <v>1</v>
      </c>
      <c r="S340" s="14" t="b">
        <f t="shared" si="148"/>
        <v>1</v>
      </c>
      <c r="T340" s="14" t="b">
        <f t="shared" si="148"/>
        <v>1</v>
      </c>
      <c r="U340" s="14" t="b">
        <f t="shared" si="148"/>
        <v>1</v>
      </c>
      <c r="V340" s="14" t="b">
        <f t="shared" si="148"/>
        <v>1</v>
      </c>
      <c r="W340" s="14" t="b">
        <f t="shared" si="148"/>
        <v>1</v>
      </c>
      <c r="X340" s="14" t="b">
        <f t="shared" si="148"/>
        <v>1</v>
      </c>
      <c r="Y340" s="14" t="b">
        <f t="shared" si="148"/>
        <v>1</v>
      </c>
      <c r="Z340" s="14" t="b">
        <f t="shared" si="148"/>
        <v>1</v>
      </c>
      <c r="AA340" s="14" t="b">
        <f t="shared" si="148"/>
        <v>1</v>
      </c>
      <c r="AB340" s="14" t="b">
        <f t="shared" si="148"/>
        <v>1</v>
      </c>
      <c r="AC340" s="14" t="b">
        <f t="shared" si="148"/>
        <v>1</v>
      </c>
      <c r="AD340" s="14" t="b">
        <f t="shared" si="148"/>
        <v>1</v>
      </c>
      <c r="AE340" s="14" t="b">
        <f t="shared" si="148"/>
        <v>1</v>
      </c>
      <c r="AF340" s="14" t="b">
        <f t="shared" si="148"/>
        <v>1</v>
      </c>
      <c r="AG340" s="14" t="b">
        <f t="shared" si="148"/>
        <v>1</v>
      </c>
      <c r="AH340" s="14" t="b">
        <f t="shared" si="148"/>
        <v>1</v>
      </c>
      <c r="AI340" s="14" t="b">
        <f t="shared" si="148"/>
        <v>1</v>
      </c>
      <c r="AJ340" s="14" t="b">
        <f t="shared" si="148"/>
        <v>1</v>
      </c>
      <c r="AK340" s="14" t="b">
        <f t="shared" si="148"/>
        <v>1</v>
      </c>
      <c r="AL340" s="14" t="b">
        <f t="shared" si="148"/>
        <v>1</v>
      </c>
      <c r="AM340" s="14" t="b">
        <f t="shared" si="148"/>
        <v>1</v>
      </c>
      <c r="AN340" s="14" t="b">
        <f t="shared" si="148"/>
        <v>1</v>
      </c>
      <c r="AO340" s="14" t="b">
        <f t="shared" si="148"/>
        <v>1</v>
      </c>
    </row>
    <row r="341" spans="3:43" x14ac:dyDescent="0.35">
      <c r="C341" s="29"/>
      <c r="F341" s="37" t="s">
        <v>1063</v>
      </c>
      <c r="G341" s="37" t="s">
        <v>912</v>
      </c>
      <c r="H341" s="37"/>
      <c r="I341" s="37"/>
      <c r="J341" s="416" t="b">
        <f t="shared" ref="J341:AO341" si="149">IF(J$32, -J264+J$336&gt;=0, TRUE)</f>
        <v>1</v>
      </c>
      <c r="K341" s="416" t="b">
        <f t="shared" si="149"/>
        <v>1</v>
      </c>
      <c r="L341" s="416" t="b">
        <f t="shared" si="149"/>
        <v>1</v>
      </c>
      <c r="M341" s="416" t="b">
        <f t="shared" si="149"/>
        <v>1</v>
      </c>
      <c r="N341" s="416" t="b">
        <f t="shared" si="149"/>
        <v>1</v>
      </c>
      <c r="O341" s="416" t="b">
        <f t="shared" si="149"/>
        <v>1</v>
      </c>
      <c r="P341" s="416" t="b">
        <f t="shared" si="149"/>
        <v>1</v>
      </c>
      <c r="Q341" s="416" t="b">
        <f t="shared" si="149"/>
        <v>1</v>
      </c>
      <c r="R341" s="416" t="b">
        <f t="shared" si="149"/>
        <v>1</v>
      </c>
      <c r="S341" s="416" t="b">
        <f t="shared" si="149"/>
        <v>1</v>
      </c>
      <c r="T341" s="416" t="b">
        <f t="shared" si="149"/>
        <v>1</v>
      </c>
      <c r="U341" s="416" t="b">
        <f t="shared" si="149"/>
        <v>1</v>
      </c>
      <c r="V341" s="416" t="b">
        <f t="shared" si="149"/>
        <v>1</v>
      </c>
      <c r="W341" s="416" t="b">
        <f t="shared" si="149"/>
        <v>1</v>
      </c>
      <c r="X341" s="416" t="b">
        <f t="shared" si="149"/>
        <v>1</v>
      </c>
      <c r="Y341" s="416" t="b">
        <f t="shared" si="149"/>
        <v>1</v>
      </c>
      <c r="Z341" s="416" t="b">
        <f t="shared" si="149"/>
        <v>1</v>
      </c>
      <c r="AA341" s="416" t="b">
        <f t="shared" si="149"/>
        <v>1</v>
      </c>
      <c r="AB341" s="416" t="b">
        <f t="shared" si="149"/>
        <v>1</v>
      </c>
      <c r="AC341" s="416" t="b">
        <f t="shared" si="149"/>
        <v>1</v>
      </c>
      <c r="AD341" s="416" t="b">
        <f t="shared" si="149"/>
        <v>1</v>
      </c>
      <c r="AE341" s="416" t="b">
        <f t="shared" si="149"/>
        <v>1</v>
      </c>
      <c r="AF341" s="416" t="b">
        <f t="shared" si="149"/>
        <v>1</v>
      </c>
      <c r="AG341" s="416" t="b">
        <f t="shared" si="149"/>
        <v>1</v>
      </c>
      <c r="AH341" s="416" t="b">
        <f t="shared" si="149"/>
        <v>1</v>
      </c>
      <c r="AI341" s="416" t="b">
        <f t="shared" si="149"/>
        <v>1</v>
      </c>
      <c r="AJ341" s="416" t="b">
        <f t="shared" si="149"/>
        <v>1</v>
      </c>
      <c r="AK341" s="416" t="b">
        <f t="shared" si="149"/>
        <v>1</v>
      </c>
      <c r="AL341" s="416" t="b">
        <f t="shared" si="149"/>
        <v>1</v>
      </c>
      <c r="AM341" s="416" t="b">
        <f t="shared" si="149"/>
        <v>1</v>
      </c>
      <c r="AN341" s="416" t="b">
        <f t="shared" si="149"/>
        <v>1</v>
      </c>
      <c r="AO341" s="416" t="b">
        <f t="shared" si="149"/>
        <v>1</v>
      </c>
    </row>
    <row r="342" spans="3:43" x14ac:dyDescent="0.35">
      <c r="C342" s="29"/>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3:43" x14ac:dyDescent="0.35">
      <c r="C343" s="29"/>
      <c r="E343" t="s">
        <v>1092</v>
      </c>
      <c r="G343" t="s">
        <v>912</v>
      </c>
      <c r="J343" s="14" t="b">
        <f>COUNTIF(J340:J341, TRUE) = 2</f>
        <v>1</v>
      </c>
      <c r="K343" s="14" t="b">
        <f t="shared" ref="K343:AO343" si="150">COUNTIF(K340:K341, TRUE) = 2</f>
        <v>1</v>
      </c>
      <c r="L343" s="14" t="b">
        <f t="shared" si="150"/>
        <v>1</v>
      </c>
      <c r="M343" s="14" t="b">
        <f t="shared" si="150"/>
        <v>1</v>
      </c>
      <c r="N343" s="14" t="b">
        <f t="shared" si="150"/>
        <v>1</v>
      </c>
      <c r="O343" s="14" t="b">
        <f t="shared" si="150"/>
        <v>1</v>
      </c>
      <c r="P343" s="14" t="b">
        <f t="shared" si="150"/>
        <v>1</v>
      </c>
      <c r="Q343" s="14" t="b">
        <f t="shared" si="150"/>
        <v>1</v>
      </c>
      <c r="R343" s="14" t="b">
        <f t="shared" si="150"/>
        <v>1</v>
      </c>
      <c r="S343" s="14" t="b">
        <f t="shared" si="150"/>
        <v>1</v>
      </c>
      <c r="T343" s="14" t="b">
        <f t="shared" si="150"/>
        <v>1</v>
      </c>
      <c r="U343" s="14" t="b">
        <f t="shared" si="150"/>
        <v>1</v>
      </c>
      <c r="V343" s="14" t="b">
        <f t="shared" si="150"/>
        <v>1</v>
      </c>
      <c r="W343" s="14" t="b">
        <f t="shared" si="150"/>
        <v>1</v>
      </c>
      <c r="X343" s="14" t="b">
        <f t="shared" si="150"/>
        <v>1</v>
      </c>
      <c r="Y343" s="14" t="b">
        <f t="shared" si="150"/>
        <v>1</v>
      </c>
      <c r="Z343" s="14" t="b">
        <f t="shared" si="150"/>
        <v>1</v>
      </c>
      <c r="AA343" s="14" t="b">
        <f t="shared" si="150"/>
        <v>1</v>
      </c>
      <c r="AB343" s="14" t="b">
        <f t="shared" si="150"/>
        <v>1</v>
      </c>
      <c r="AC343" s="14" t="b">
        <f t="shared" si="150"/>
        <v>1</v>
      </c>
      <c r="AD343" s="14" t="b">
        <f t="shared" si="150"/>
        <v>1</v>
      </c>
      <c r="AE343" s="14" t="b">
        <f t="shared" si="150"/>
        <v>1</v>
      </c>
      <c r="AF343" s="14" t="b">
        <f t="shared" si="150"/>
        <v>1</v>
      </c>
      <c r="AG343" s="14" t="b">
        <f t="shared" si="150"/>
        <v>1</v>
      </c>
      <c r="AH343" s="14" t="b">
        <f t="shared" si="150"/>
        <v>1</v>
      </c>
      <c r="AI343" s="14" t="b">
        <f t="shared" si="150"/>
        <v>1</v>
      </c>
      <c r="AJ343" s="14" t="b">
        <f t="shared" si="150"/>
        <v>1</v>
      </c>
      <c r="AK343" s="14" t="b">
        <f t="shared" si="150"/>
        <v>1</v>
      </c>
      <c r="AL343" s="14" t="b">
        <f t="shared" si="150"/>
        <v>1</v>
      </c>
      <c r="AM343" s="14" t="b">
        <f t="shared" si="150"/>
        <v>1</v>
      </c>
      <c r="AN343" s="14" t="b">
        <f t="shared" si="150"/>
        <v>1</v>
      </c>
      <c r="AO343" s="14" t="b">
        <f t="shared" si="150"/>
        <v>1</v>
      </c>
    </row>
    <row r="344" spans="3:43" x14ac:dyDescent="0.35">
      <c r="C344" s="29"/>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spans="3:43" x14ac:dyDescent="0.35">
      <c r="C345" s="31" t="str">
        <f ca="1">INDEX('Version control'!$H$34:$H$57,MATCH($A$1,'Version control'!$F$34:$F$57,0),1)&amp;"-M: Revenue matching for one timeband"</f>
        <v>Section 116-M: Revenue matching for one timeband</v>
      </c>
      <c r="D345" s="31"/>
      <c r="E345" s="31"/>
      <c r="F345" s="31"/>
      <c r="G345" s="31"/>
      <c r="H345" s="31"/>
      <c r="I345" s="31"/>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31"/>
      <c r="AQ345" s="31"/>
    </row>
    <row r="346" spans="3:43" x14ac:dyDescent="0.35">
      <c r="C346" s="29"/>
      <c r="E346" s="32"/>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spans="3:43" x14ac:dyDescent="0.35">
      <c r="C347" s="29"/>
      <c r="D347" s="29" t="s">
        <v>1152</v>
      </c>
      <c r="E347" s="32"/>
      <c r="I347" t="s">
        <v>154</v>
      </c>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Q347" t="s">
        <v>1128</v>
      </c>
    </row>
    <row r="348" spans="3:43" x14ac:dyDescent="0.35">
      <c r="C348" s="29"/>
      <c r="D348" s="29" t="s">
        <v>1093</v>
      </c>
      <c r="E348" s="32"/>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spans="3:43" x14ac:dyDescent="0.35">
      <c r="C349" s="29"/>
      <c r="D349" s="29" t="s">
        <v>1084</v>
      </c>
      <c r="E349" s="32"/>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spans="3:43" x14ac:dyDescent="0.35">
      <c r="C350" s="29"/>
      <c r="D350" s="29" t="s">
        <v>1085</v>
      </c>
      <c r="E350" s="32"/>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spans="3:43" x14ac:dyDescent="0.35">
      <c r="C351" s="29"/>
      <c r="E351" s="32"/>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spans="3:43" x14ac:dyDescent="0.35">
      <c r="C352" s="29"/>
      <c r="E352" s="32" t="s">
        <v>1094</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spans="3:44" x14ac:dyDescent="0.35">
      <c r="C353" s="29"/>
      <c r="F353" s="24" t="s">
        <v>1095</v>
      </c>
      <c r="G353" t="s">
        <v>936</v>
      </c>
      <c r="J353" s="163">
        <f t="shared" ref="J353:AO353" si="151">SUMPRODUCT(J262:J263, J282:J283)*thousand/hundred</f>
        <v>0</v>
      </c>
      <c r="K353" s="163">
        <f t="shared" si="151"/>
        <v>0</v>
      </c>
      <c r="L353" s="163">
        <f t="shared" si="151"/>
        <v>0</v>
      </c>
      <c r="M353" s="163">
        <f t="shared" si="151"/>
        <v>0</v>
      </c>
      <c r="N353" s="163">
        <f t="shared" si="151"/>
        <v>0</v>
      </c>
      <c r="O353" s="163">
        <f t="shared" si="151"/>
        <v>0</v>
      </c>
      <c r="P353" s="163">
        <f t="shared" si="151"/>
        <v>0</v>
      </c>
      <c r="Q353" s="163">
        <f t="shared" si="151"/>
        <v>0</v>
      </c>
      <c r="R353" s="163">
        <f t="shared" si="151"/>
        <v>0</v>
      </c>
      <c r="S353" s="163">
        <f t="shared" si="151"/>
        <v>0</v>
      </c>
      <c r="T353" s="163">
        <f t="shared" si="151"/>
        <v>0</v>
      </c>
      <c r="U353" s="163">
        <f t="shared" si="151"/>
        <v>0</v>
      </c>
      <c r="V353" s="163">
        <f t="shared" si="151"/>
        <v>0</v>
      </c>
      <c r="W353" s="163">
        <f t="shared" si="151"/>
        <v>0</v>
      </c>
      <c r="X353" s="163">
        <f t="shared" si="151"/>
        <v>0</v>
      </c>
      <c r="Y353" s="163">
        <f t="shared" si="151"/>
        <v>0</v>
      </c>
      <c r="Z353" s="163">
        <f t="shared" si="151"/>
        <v>0</v>
      </c>
      <c r="AA353" s="163">
        <f t="shared" si="151"/>
        <v>0</v>
      </c>
      <c r="AB353" s="163">
        <f t="shared" si="151"/>
        <v>0</v>
      </c>
      <c r="AC353" s="163">
        <f t="shared" si="151"/>
        <v>0</v>
      </c>
      <c r="AD353" s="163">
        <f t="shared" si="151"/>
        <v>0</v>
      </c>
      <c r="AE353" s="163">
        <f t="shared" si="151"/>
        <v>0</v>
      </c>
      <c r="AF353" s="163">
        <f t="shared" si="151"/>
        <v>0</v>
      </c>
      <c r="AG353" s="163">
        <f t="shared" si="151"/>
        <v>0</v>
      </c>
      <c r="AH353" s="163">
        <f t="shared" si="151"/>
        <v>0</v>
      </c>
      <c r="AI353" s="163">
        <f t="shared" si="151"/>
        <v>0</v>
      </c>
      <c r="AJ353" s="163">
        <f t="shared" si="151"/>
        <v>0</v>
      </c>
      <c r="AK353" s="163">
        <f t="shared" si="151"/>
        <v>0</v>
      </c>
      <c r="AL353" s="163">
        <f t="shared" si="151"/>
        <v>0</v>
      </c>
      <c r="AM353" s="163">
        <f t="shared" si="151"/>
        <v>0</v>
      </c>
      <c r="AN353" s="163">
        <f t="shared" si="151"/>
        <v>0</v>
      </c>
      <c r="AO353" s="163">
        <f t="shared" si="151"/>
        <v>0</v>
      </c>
    </row>
    <row r="354" spans="3:44" x14ac:dyDescent="0.35">
      <c r="C354" s="29"/>
      <c r="F354" s="32"/>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spans="3:44" x14ac:dyDescent="0.35">
      <c r="C355" s="29"/>
      <c r="F355" s="417" t="s">
        <v>1088</v>
      </c>
      <c r="G355" t="s">
        <v>936</v>
      </c>
      <c r="J355" s="163">
        <f t="shared" ref="J355:AO355" si="152">J228 - J353</f>
        <v>0</v>
      </c>
      <c r="K355" s="163">
        <f t="shared" si="152"/>
        <v>0</v>
      </c>
      <c r="L355" s="163">
        <f t="shared" si="152"/>
        <v>0</v>
      </c>
      <c r="M355" s="163">
        <f t="shared" si="152"/>
        <v>0</v>
      </c>
      <c r="N355" s="163">
        <f t="shared" si="152"/>
        <v>0</v>
      </c>
      <c r="O355" s="163">
        <f t="shared" si="152"/>
        <v>0</v>
      </c>
      <c r="P355" s="163">
        <f t="shared" si="152"/>
        <v>0</v>
      </c>
      <c r="Q355" s="163">
        <f t="shared" si="152"/>
        <v>0</v>
      </c>
      <c r="R355" s="163">
        <f t="shared" si="152"/>
        <v>0</v>
      </c>
      <c r="S355" s="163">
        <f t="shared" si="152"/>
        <v>0</v>
      </c>
      <c r="T355" s="163">
        <f t="shared" si="152"/>
        <v>0</v>
      </c>
      <c r="U355" s="163">
        <f t="shared" si="152"/>
        <v>0</v>
      </c>
      <c r="V355" s="163">
        <f t="shared" si="152"/>
        <v>0</v>
      </c>
      <c r="W355" s="163">
        <f t="shared" si="152"/>
        <v>0</v>
      </c>
      <c r="X355" s="163">
        <f t="shared" si="152"/>
        <v>0</v>
      </c>
      <c r="Y355" s="163">
        <f t="shared" si="152"/>
        <v>0</v>
      </c>
      <c r="Z355" s="163">
        <f t="shared" si="152"/>
        <v>0</v>
      </c>
      <c r="AA355" s="163">
        <f t="shared" si="152"/>
        <v>0</v>
      </c>
      <c r="AB355" s="163">
        <f t="shared" si="152"/>
        <v>0</v>
      </c>
      <c r="AC355" s="163">
        <f t="shared" si="152"/>
        <v>0</v>
      </c>
      <c r="AD355" s="163">
        <f t="shared" si="152"/>
        <v>0</v>
      </c>
      <c r="AE355" s="163">
        <f t="shared" si="152"/>
        <v>0</v>
      </c>
      <c r="AF355" s="163">
        <f t="shared" si="152"/>
        <v>0</v>
      </c>
      <c r="AG355" s="163">
        <f t="shared" si="152"/>
        <v>0</v>
      </c>
      <c r="AH355" s="163">
        <f t="shared" si="152"/>
        <v>0</v>
      </c>
      <c r="AI355" s="163">
        <f t="shared" si="152"/>
        <v>0</v>
      </c>
      <c r="AJ355" s="163">
        <f t="shared" si="152"/>
        <v>0</v>
      </c>
      <c r="AK355" s="163">
        <f t="shared" si="152"/>
        <v>0</v>
      </c>
      <c r="AL355" s="163">
        <f t="shared" si="152"/>
        <v>0</v>
      </c>
      <c r="AM355" s="163">
        <f t="shared" si="152"/>
        <v>0</v>
      </c>
      <c r="AN355" s="163">
        <f t="shared" si="152"/>
        <v>0</v>
      </c>
      <c r="AO355" s="163">
        <f t="shared" si="152"/>
        <v>0</v>
      </c>
    </row>
    <row r="356" spans="3:44" x14ac:dyDescent="0.35">
      <c r="C356" s="29"/>
      <c r="F356" s="32"/>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spans="3:44" x14ac:dyDescent="0.35">
      <c r="C357" s="29"/>
      <c r="F357" t="s">
        <v>1077</v>
      </c>
      <c r="G357" t="s">
        <v>936</v>
      </c>
      <c r="J357" s="163">
        <f>SUMIF($J$149:$AO$149,J$149,$J355:$AO355)</f>
        <v>0</v>
      </c>
      <c r="K357" s="163">
        <f t="shared" ref="K357:AO357" si="153">SUMIF($J$149:$AO$149,K$149,$J355:$AO355)</f>
        <v>0</v>
      </c>
      <c r="L357" s="163">
        <f t="shared" si="153"/>
        <v>0</v>
      </c>
      <c r="M357" s="163">
        <f t="shared" si="153"/>
        <v>0</v>
      </c>
      <c r="N357" s="163">
        <f t="shared" si="153"/>
        <v>0</v>
      </c>
      <c r="O357" s="163">
        <f t="shared" si="153"/>
        <v>0</v>
      </c>
      <c r="P357" s="163">
        <f t="shared" si="153"/>
        <v>0</v>
      </c>
      <c r="Q357" s="163">
        <f t="shared" si="153"/>
        <v>0</v>
      </c>
      <c r="R357" s="163">
        <f t="shared" si="153"/>
        <v>0</v>
      </c>
      <c r="S357" s="163">
        <f t="shared" si="153"/>
        <v>0</v>
      </c>
      <c r="T357" s="163">
        <f t="shared" si="153"/>
        <v>0</v>
      </c>
      <c r="U357" s="163">
        <f t="shared" si="153"/>
        <v>0</v>
      </c>
      <c r="V357" s="163">
        <f t="shared" si="153"/>
        <v>0</v>
      </c>
      <c r="W357" s="163">
        <f t="shared" si="153"/>
        <v>0</v>
      </c>
      <c r="X357" s="163">
        <f t="shared" si="153"/>
        <v>0</v>
      </c>
      <c r="Y357" s="163">
        <f t="shared" si="153"/>
        <v>0</v>
      </c>
      <c r="Z357" s="163">
        <f t="shared" si="153"/>
        <v>0</v>
      </c>
      <c r="AA357" s="163">
        <f t="shared" si="153"/>
        <v>0</v>
      </c>
      <c r="AB357" s="163">
        <f t="shared" si="153"/>
        <v>0</v>
      </c>
      <c r="AC357" s="163">
        <f t="shared" si="153"/>
        <v>0</v>
      </c>
      <c r="AD357" s="163">
        <f t="shared" si="153"/>
        <v>0</v>
      </c>
      <c r="AE357" s="163">
        <f t="shared" si="153"/>
        <v>0</v>
      </c>
      <c r="AF357" s="163">
        <f t="shared" si="153"/>
        <v>0</v>
      </c>
      <c r="AG357" s="163">
        <f t="shared" si="153"/>
        <v>0</v>
      </c>
      <c r="AH357" s="163">
        <f t="shared" si="153"/>
        <v>0</v>
      </c>
      <c r="AI357" s="163">
        <f t="shared" si="153"/>
        <v>0</v>
      </c>
      <c r="AJ357" s="163">
        <f t="shared" si="153"/>
        <v>0</v>
      </c>
      <c r="AK357" s="163">
        <f t="shared" si="153"/>
        <v>0</v>
      </c>
      <c r="AL357" s="163">
        <f t="shared" si="153"/>
        <v>0</v>
      </c>
      <c r="AM357" s="163">
        <f t="shared" si="153"/>
        <v>0</v>
      </c>
      <c r="AN357" s="163">
        <f t="shared" si="153"/>
        <v>0</v>
      </c>
      <c r="AO357" s="163">
        <f t="shared" si="153"/>
        <v>0</v>
      </c>
    </row>
    <row r="358" spans="3:44" x14ac:dyDescent="0.35">
      <c r="C358" s="29"/>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spans="3:44" x14ac:dyDescent="0.35">
      <c r="C359" s="29"/>
      <c r="F359" t="s">
        <v>1078</v>
      </c>
      <c r="G359" t="s">
        <v>936</v>
      </c>
      <c r="J359" s="163">
        <f xml:space="preserve"> J357 * J$157</f>
        <v>0</v>
      </c>
      <c r="K359" s="163">
        <f t="shared" ref="K359:AO359" si="154" xml:space="preserve"> K357 * K$157</f>
        <v>0</v>
      </c>
      <c r="L359" s="163">
        <f t="shared" si="154"/>
        <v>0</v>
      </c>
      <c r="M359" s="163">
        <f t="shared" si="154"/>
        <v>0</v>
      </c>
      <c r="N359" s="163">
        <f t="shared" si="154"/>
        <v>0</v>
      </c>
      <c r="O359" s="163">
        <f t="shared" si="154"/>
        <v>0</v>
      </c>
      <c r="P359" s="163">
        <f t="shared" si="154"/>
        <v>0</v>
      </c>
      <c r="Q359" s="163">
        <f t="shared" si="154"/>
        <v>0</v>
      </c>
      <c r="R359" s="163">
        <f t="shared" si="154"/>
        <v>0</v>
      </c>
      <c r="S359" s="163">
        <f t="shared" si="154"/>
        <v>0</v>
      </c>
      <c r="T359" s="163">
        <f t="shared" si="154"/>
        <v>0</v>
      </c>
      <c r="U359" s="163">
        <f t="shared" si="154"/>
        <v>0</v>
      </c>
      <c r="V359" s="163">
        <f t="shared" si="154"/>
        <v>0</v>
      </c>
      <c r="W359" s="163">
        <f t="shared" si="154"/>
        <v>0</v>
      </c>
      <c r="X359" s="163">
        <f t="shared" si="154"/>
        <v>0</v>
      </c>
      <c r="Y359" s="163">
        <f t="shared" si="154"/>
        <v>0</v>
      </c>
      <c r="Z359" s="163">
        <f t="shared" si="154"/>
        <v>0</v>
      </c>
      <c r="AA359" s="163">
        <f t="shared" si="154"/>
        <v>0</v>
      </c>
      <c r="AB359" s="163">
        <f t="shared" si="154"/>
        <v>0</v>
      </c>
      <c r="AC359" s="163">
        <f t="shared" si="154"/>
        <v>0</v>
      </c>
      <c r="AD359" s="163">
        <f t="shared" si="154"/>
        <v>0</v>
      </c>
      <c r="AE359" s="163">
        <f t="shared" si="154"/>
        <v>0</v>
      </c>
      <c r="AF359" s="163">
        <f t="shared" si="154"/>
        <v>0</v>
      </c>
      <c r="AG359" s="163">
        <f t="shared" si="154"/>
        <v>0</v>
      </c>
      <c r="AH359" s="163">
        <f t="shared" si="154"/>
        <v>0</v>
      </c>
      <c r="AI359" s="163">
        <f t="shared" si="154"/>
        <v>0</v>
      </c>
      <c r="AJ359" s="163">
        <f t="shared" si="154"/>
        <v>0</v>
      </c>
      <c r="AK359" s="163">
        <f t="shared" si="154"/>
        <v>0</v>
      </c>
      <c r="AL359" s="163">
        <f t="shared" si="154"/>
        <v>0</v>
      </c>
      <c r="AM359" s="163">
        <f t="shared" si="154"/>
        <v>0</v>
      </c>
      <c r="AN359" s="163">
        <f t="shared" si="154"/>
        <v>0</v>
      </c>
      <c r="AO359" s="163">
        <f t="shared" si="154"/>
        <v>0</v>
      </c>
    </row>
    <row r="360" spans="3:44" x14ac:dyDescent="0.35">
      <c r="C360" s="29"/>
      <c r="F360" s="2"/>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spans="3:44" x14ac:dyDescent="0.35">
      <c r="C361" s="29"/>
      <c r="E361" s="32" t="s">
        <v>1026</v>
      </c>
      <c r="F361" s="2"/>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spans="3:44" x14ac:dyDescent="0.35">
      <c r="C362" s="29"/>
      <c r="F362" s="410" t="s">
        <v>1089</v>
      </c>
      <c r="G362" t="s">
        <v>207</v>
      </c>
      <c r="J362" s="163">
        <f t="shared" ref="J362:AO362" si="155">J284</f>
        <v>0</v>
      </c>
      <c r="K362" s="163">
        <f t="shared" si="155"/>
        <v>0</v>
      </c>
      <c r="L362" s="163">
        <f t="shared" si="155"/>
        <v>0</v>
      </c>
      <c r="M362" s="163">
        <f t="shared" si="155"/>
        <v>0</v>
      </c>
      <c r="N362" s="163">
        <f t="shared" si="155"/>
        <v>0</v>
      </c>
      <c r="O362" s="163">
        <f t="shared" si="155"/>
        <v>0</v>
      </c>
      <c r="P362" s="163">
        <f t="shared" si="155"/>
        <v>0</v>
      </c>
      <c r="Q362" s="163">
        <f t="shared" si="155"/>
        <v>0</v>
      </c>
      <c r="R362" s="163">
        <f t="shared" si="155"/>
        <v>0</v>
      </c>
      <c r="S362" s="163">
        <f t="shared" si="155"/>
        <v>0</v>
      </c>
      <c r="T362" s="163">
        <f t="shared" si="155"/>
        <v>0</v>
      </c>
      <c r="U362" s="163">
        <f t="shared" si="155"/>
        <v>0</v>
      </c>
      <c r="V362" s="163">
        <f t="shared" si="155"/>
        <v>0</v>
      </c>
      <c r="W362" s="163">
        <f t="shared" si="155"/>
        <v>0</v>
      </c>
      <c r="X362" s="163">
        <f t="shared" si="155"/>
        <v>0</v>
      </c>
      <c r="Y362" s="163">
        <f t="shared" si="155"/>
        <v>0</v>
      </c>
      <c r="Z362" s="163">
        <f t="shared" si="155"/>
        <v>0</v>
      </c>
      <c r="AA362" s="163">
        <f t="shared" si="155"/>
        <v>0</v>
      </c>
      <c r="AB362" s="163">
        <f t="shared" si="155"/>
        <v>0</v>
      </c>
      <c r="AC362" s="163">
        <f t="shared" si="155"/>
        <v>0</v>
      </c>
      <c r="AD362" s="163">
        <f t="shared" si="155"/>
        <v>0</v>
      </c>
      <c r="AE362" s="163">
        <f t="shared" si="155"/>
        <v>0</v>
      </c>
      <c r="AF362" s="163">
        <f t="shared" si="155"/>
        <v>0</v>
      </c>
      <c r="AG362" s="163">
        <f t="shared" si="155"/>
        <v>0</v>
      </c>
      <c r="AH362" s="163">
        <f t="shared" si="155"/>
        <v>0</v>
      </c>
      <c r="AI362" s="163">
        <f t="shared" si="155"/>
        <v>0</v>
      </c>
      <c r="AJ362" s="163">
        <f t="shared" si="155"/>
        <v>0</v>
      </c>
      <c r="AK362" s="163">
        <f t="shared" si="155"/>
        <v>0</v>
      </c>
      <c r="AL362" s="163">
        <f t="shared" si="155"/>
        <v>0</v>
      </c>
      <c r="AM362" s="163">
        <f t="shared" si="155"/>
        <v>0</v>
      </c>
      <c r="AN362" s="163">
        <f t="shared" si="155"/>
        <v>0</v>
      </c>
      <c r="AO362" s="163">
        <f t="shared" si="155"/>
        <v>0</v>
      </c>
    </row>
    <row r="363" spans="3:44" x14ac:dyDescent="0.35">
      <c r="C363" s="29"/>
      <c r="F363" s="2"/>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spans="3:44" x14ac:dyDescent="0.35">
      <c r="C364" s="29"/>
      <c r="F364" t="s">
        <v>1028</v>
      </c>
      <c r="G364" t="s">
        <v>207</v>
      </c>
      <c r="J364" s="163">
        <f>SUMIF($J$149:$AO$149,J$149,$J362:$AO362)</f>
        <v>0</v>
      </c>
      <c r="K364" s="163">
        <f t="shared" ref="K364:AO364" si="156">SUMIF($J$149:$AO$149,K$149,$J362:$AO362)</f>
        <v>0</v>
      </c>
      <c r="L364" s="163">
        <f t="shared" si="156"/>
        <v>0</v>
      </c>
      <c r="M364" s="163">
        <f t="shared" si="156"/>
        <v>0</v>
      </c>
      <c r="N364" s="163">
        <f t="shared" si="156"/>
        <v>0</v>
      </c>
      <c r="O364" s="163">
        <f t="shared" si="156"/>
        <v>0</v>
      </c>
      <c r="P364" s="163">
        <f t="shared" si="156"/>
        <v>0</v>
      </c>
      <c r="Q364" s="163">
        <f t="shared" si="156"/>
        <v>0</v>
      </c>
      <c r="R364" s="163">
        <f t="shared" si="156"/>
        <v>0</v>
      </c>
      <c r="S364" s="163">
        <f t="shared" si="156"/>
        <v>0</v>
      </c>
      <c r="T364" s="163">
        <f t="shared" si="156"/>
        <v>0</v>
      </c>
      <c r="U364" s="163">
        <f t="shared" si="156"/>
        <v>0</v>
      </c>
      <c r="V364" s="163">
        <f t="shared" si="156"/>
        <v>0</v>
      </c>
      <c r="W364" s="163">
        <f t="shared" si="156"/>
        <v>0</v>
      </c>
      <c r="X364" s="163">
        <f t="shared" si="156"/>
        <v>0</v>
      </c>
      <c r="Y364" s="163">
        <f t="shared" si="156"/>
        <v>0</v>
      </c>
      <c r="Z364" s="163">
        <f t="shared" si="156"/>
        <v>0</v>
      </c>
      <c r="AA364" s="163">
        <f t="shared" si="156"/>
        <v>0</v>
      </c>
      <c r="AB364" s="163">
        <f t="shared" si="156"/>
        <v>0</v>
      </c>
      <c r="AC364" s="163">
        <f t="shared" si="156"/>
        <v>0</v>
      </c>
      <c r="AD364" s="163">
        <f t="shared" si="156"/>
        <v>0</v>
      </c>
      <c r="AE364" s="163">
        <f t="shared" si="156"/>
        <v>0</v>
      </c>
      <c r="AF364" s="163">
        <f t="shared" si="156"/>
        <v>0</v>
      </c>
      <c r="AG364" s="163">
        <f t="shared" si="156"/>
        <v>0</v>
      </c>
      <c r="AH364" s="163">
        <f t="shared" si="156"/>
        <v>0</v>
      </c>
      <c r="AI364" s="163">
        <f t="shared" si="156"/>
        <v>0</v>
      </c>
      <c r="AJ364" s="163">
        <f t="shared" si="156"/>
        <v>0</v>
      </c>
      <c r="AK364" s="163">
        <f t="shared" si="156"/>
        <v>0</v>
      </c>
      <c r="AL364" s="163">
        <f t="shared" si="156"/>
        <v>0</v>
      </c>
      <c r="AM364" s="163">
        <f t="shared" si="156"/>
        <v>0</v>
      </c>
      <c r="AN364" s="163">
        <f t="shared" si="156"/>
        <v>0</v>
      </c>
      <c r="AO364" s="163">
        <f t="shared" si="156"/>
        <v>0</v>
      </c>
    </row>
    <row r="365" spans="3:44" x14ac:dyDescent="0.35">
      <c r="C365" s="29"/>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spans="3:44" x14ac:dyDescent="0.35">
      <c r="C366" s="29"/>
      <c r="F366" t="s">
        <v>1030</v>
      </c>
      <c r="G366" t="s">
        <v>207</v>
      </c>
      <c r="J366" s="163">
        <f xml:space="preserve"> J364 * J$157</f>
        <v>0</v>
      </c>
      <c r="K366" s="163">
        <f t="shared" ref="K366:AO366" si="157" xml:space="preserve"> K364 * K$157</f>
        <v>0</v>
      </c>
      <c r="L366" s="163">
        <f t="shared" si="157"/>
        <v>0</v>
      </c>
      <c r="M366" s="163">
        <f t="shared" si="157"/>
        <v>0</v>
      </c>
      <c r="N366" s="163">
        <f t="shared" si="157"/>
        <v>0</v>
      </c>
      <c r="O366" s="163">
        <f t="shared" si="157"/>
        <v>0</v>
      </c>
      <c r="P366" s="163">
        <f t="shared" si="157"/>
        <v>0</v>
      </c>
      <c r="Q366" s="163">
        <f t="shared" si="157"/>
        <v>0</v>
      </c>
      <c r="R366" s="163">
        <f t="shared" si="157"/>
        <v>0</v>
      </c>
      <c r="S366" s="163">
        <f t="shared" si="157"/>
        <v>0</v>
      </c>
      <c r="T366" s="163">
        <f t="shared" si="157"/>
        <v>0</v>
      </c>
      <c r="U366" s="163">
        <f t="shared" si="157"/>
        <v>0</v>
      </c>
      <c r="V366" s="163">
        <f t="shared" si="157"/>
        <v>0</v>
      </c>
      <c r="W366" s="163">
        <f t="shared" si="157"/>
        <v>0</v>
      </c>
      <c r="X366" s="163">
        <f t="shared" si="157"/>
        <v>0</v>
      </c>
      <c r="Y366" s="163">
        <f t="shared" si="157"/>
        <v>0</v>
      </c>
      <c r="Z366" s="163">
        <f t="shared" si="157"/>
        <v>0</v>
      </c>
      <c r="AA366" s="163">
        <f t="shared" si="157"/>
        <v>0</v>
      </c>
      <c r="AB366" s="163">
        <f t="shared" si="157"/>
        <v>0</v>
      </c>
      <c r="AC366" s="163">
        <f t="shared" si="157"/>
        <v>0</v>
      </c>
      <c r="AD366" s="163">
        <f t="shared" si="157"/>
        <v>0</v>
      </c>
      <c r="AE366" s="163">
        <f t="shared" si="157"/>
        <v>0</v>
      </c>
      <c r="AF366" s="163">
        <f t="shared" si="157"/>
        <v>0</v>
      </c>
      <c r="AG366" s="163">
        <f t="shared" si="157"/>
        <v>0</v>
      </c>
      <c r="AH366" s="163">
        <f t="shared" si="157"/>
        <v>0</v>
      </c>
      <c r="AI366" s="163">
        <f t="shared" si="157"/>
        <v>0</v>
      </c>
      <c r="AJ366" s="163">
        <f t="shared" si="157"/>
        <v>0</v>
      </c>
      <c r="AK366" s="163">
        <f t="shared" si="157"/>
        <v>0</v>
      </c>
      <c r="AL366" s="163">
        <f t="shared" si="157"/>
        <v>0</v>
      </c>
      <c r="AM366" s="163">
        <f t="shared" si="157"/>
        <v>0</v>
      </c>
      <c r="AN366" s="163">
        <f t="shared" si="157"/>
        <v>0</v>
      </c>
      <c r="AO366" s="163">
        <f t="shared" si="157"/>
        <v>0</v>
      </c>
      <c r="AP366" s="14"/>
      <c r="AQ366" s="14"/>
      <c r="AR366" s="14"/>
    </row>
    <row r="367" spans="3:44" x14ac:dyDescent="0.35">
      <c r="C367" s="29"/>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spans="3:44" x14ac:dyDescent="0.35">
      <c r="C368" s="29"/>
      <c r="E368" s="28" t="s">
        <v>1096</v>
      </c>
      <c r="G368" t="s">
        <v>269</v>
      </c>
      <c r="J368" s="338">
        <f t="shared" ref="J368:AO368" si="158">IF( J366&lt;&gt;0, J359/J366, 0)*hundred/thousand</f>
        <v>0</v>
      </c>
      <c r="K368" s="338">
        <f t="shared" si="158"/>
        <v>0</v>
      </c>
      <c r="L368" s="338">
        <f t="shared" si="158"/>
        <v>0</v>
      </c>
      <c r="M368" s="338">
        <f t="shared" si="158"/>
        <v>0</v>
      </c>
      <c r="N368" s="338">
        <f t="shared" si="158"/>
        <v>0</v>
      </c>
      <c r="O368" s="338">
        <f t="shared" si="158"/>
        <v>0</v>
      </c>
      <c r="P368" s="338">
        <f t="shared" si="158"/>
        <v>0</v>
      </c>
      <c r="Q368" s="338">
        <f t="shared" si="158"/>
        <v>0</v>
      </c>
      <c r="R368" s="338">
        <f t="shared" si="158"/>
        <v>0</v>
      </c>
      <c r="S368" s="338">
        <f t="shared" si="158"/>
        <v>0</v>
      </c>
      <c r="T368" s="338">
        <f t="shared" si="158"/>
        <v>0</v>
      </c>
      <c r="U368" s="338">
        <f t="shared" si="158"/>
        <v>0</v>
      </c>
      <c r="V368" s="338">
        <f t="shared" si="158"/>
        <v>0</v>
      </c>
      <c r="W368" s="338">
        <f t="shared" si="158"/>
        <v>0</v>
      </c>
      <c r="X368" s="338">
        <f t="shared" si="158"/>
        <v>0</v>
      </c>
      <c r="Y368" s="338">
        <f t="shared" si="158"/>
        <v>0</v>
      </c>
      <c r="Z368" s="338">
        <f t="shared" si="158"/>
        <v>0</v>
      </c>
      <c r="AA368" s="338">
        <f t="shared" si="158"/>
        <v>0</v>
      </c>
      <c r="AB368" s="338">
        <f t="shared" si="158"/>
        <v>0</v>
      </c>
      <c r="AC368" s="338">
        <f t="shared" si="158"/>
        <v>0</v>
      </c>
      <c r="AD368" s="338">
        <f t="shared" si="158"/>
        <v>0</v>
      </c>
      <c r="AE368" s="338">
        <f t="shared" si="158"/>
        <v>0</v>
      </c>
      <c r="AF368" s="338">
        <f t="shared" si="158"/>
        <v>0</v>
      </c>
      <c r="AG368" s="338">
        <f t="shared" si="158"/>
        <v>0</v>
      </c>
      <c r="AH368" s="338">
        <f t="shared" si="158"/>
        <v>0</v>
      </c>
      <c r="AI368" s="338">
        <f t="shared" si="158"/>
        <v>0</v>
      </c>
      <c r="AJ368" s="338">
        <f t="shared" si="158"/>
        <v>0</v>
      </c>
      <c r="AK368" s="338">
        <f t="shared" si="158"/>
        <v>0</v>
      </c>
      <c r="AL368" s="338">
        <f t="shared" si="158"/>
        <v>0</v>
      </c>
      <c r="AM368" s="338">
        <f t="shared" si="158"/>
        <v>0</v>
      </c>
      <c r="AN368" s="338">
        <f t="shared" si="158"/>
        <v>0</v>
      </c>
      <c r="AO368" s="338">
        <f t="shared" si="158"/>
        <v>0</v>
      </c>
    </row>
    <row r="369" spans="3:43" x14ac:dyDescent="0.35">
      <c r="C369" s="29"/>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3:43" x14ac:dyDescent="0.35">
      <c r="C370" s="29"/>
      <c r="E370" s="32" t="s">
        <v>1097</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3:43" x14ac:dyDescent="0.35">
      <c r="C371" s="29"/>
      <c r="F371" s="23" t="s">
        <v>1061</v>
      </c>
      <c r="G371" s="23" t="s">
        <v>912</v>
      </c>
      <c r="H371" s="23"/>
      <c r="I371" s="23"/>
      <c r="J371" s="418"/>
      <c r="K371" s="418"/>
      <c r="L371" s="418"/>
      <c r="M371" s="418"/>
      <c r="N371" s="418"/>
      <c r="O371" s="418"/>
      <c r="P371" s="418"/>
      <c r="Q371" s="418"/>
      <c r="R371" s="418"/>
      <c r="S371" s="418"/>
      <c r="T371" s="418"/>
      <c r="U371" s="418"/>
      <c r="V371" s="418"/>
      <c r="W371" s="418"/>
      <c r="X371" s="418"/>
      <c r="Y371" s="418"/>
      <c r="Z371" s="418"/>
      <c r="AA371" s="418"/>
      <c r="AB371" s="418"/>
      <c r="AC371" s="418"/>
      <c r="AD371" s="418"/>
      <c r="AE371" s="418"/>
      <c r="AF371" s="418"/>
      <c r="AG371" s="418"/>
      <c r="AH371" s="418"/>
      <c r="AI371" s="418"/>
      <c r="AJ371" s="418"/>
      <c r="AK371" s="418"/>
      <c r="AL371" s="418"/>
      <c r="AM371" s="418"/>
      <c r="AN371" s="418"/>
      <c r="AO371" s="418"/>
    </row>
    <row r="372" spans="3:43" x14ac:dyDescent="0.35">
      <c r="C372" s="29"/>
      <c r="F372" t="s">
        <v>1062</v>
      </c>
      <c r="G372" t="s">
        <v>912</v>
      </c>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row>
    <row r="373" spans="3:43" x14ac:dyDescent="0.35">
      <c r="C373" s="29"/>
      <c r="F373" s="37" t="s">
        <v>1063</v>
      </c>
      <c r="G373" s="37" t="s">
        <v>912</v>
      </c>
      <c r="H373" s="37"/>
      <c r="I373" s="37"/>
      <c r="J373" s="416" t="b">
        <f t="shared" ref="J373:AO373" si="159">IF(J$32, -J264+J$368&gt;=0, TRUE)</f>
        <v>1</v>
      </c>
      <c r="K373" s="416" t="b">
        <f t="shared" si="159"/>
        <v>1</v>
      </c>
      <c r="L373" s="416" t="b">
        <f t="shared" si="159"/>
        <v>1</v>
      </c>
      <c r="M373" s="416" t="b">
        <f t="shared" si="159"/>
        <v>1</v>
      </c>
      <c r="N373" s="416" t="b">
        <f t="shared" si="159"/>
        <v>1</v>
      </c>
      <c r="O373" s="416" t="b">
        <f t="shared" si="159"/>
        <v>1</v>
      </c>
      <c r="P373" s="416" t="b">
        <f t="shared" si="159"/>
        <v>1</v>
      </c>
      <c r="Q373" s="416" t="b">
        <f t="shared" si="159"/>
        <v>1</v>
      </c>
      <c r="R373" s="416" t="b">
        <f t="shared" si="159"/>
        <v>1</v>
      </c>
      <c r="S373" s="416" t="b">
        <f t="shared" si="159"/>
        <v>1</v>
      </c>
      <c r="T373" s="416" t="b">
        <f t="shared" si="159"/>
        <v>1</v>
      </c>
      <c r="U373" s="416" t="b">
        <f t="shared" si="159"/>
        <v>1</v>
      </c>
      <c r="V373" s="416" t="b">
        <f t="shared" si="159"/>
        <v>1</v>
      </c>
      <c r="W373" s="416" t="b">
        <f t="shared" si="159"/>
        <v>1</v>
      </c>
      <c r="X373" s="416" t="b">
        <f t="shared" si="159"/>
        <v>1</v>
      </c>
      <c r="Y373" s="416" t="b">
        <f t="shared" si="159"/>
        <v>1</v>
      </c>
      <c r="Z373" s="416" t="b">
        <f t="shared" si="159"/>
        <v>1</v>
      </c>
      <c r="AA373" s="416" t="b">
        <f t="shared" si="159"/>
        <v>1</v>
      </c>
      <c r="AB373" s="416" t="b">
        <f t="shared" si="159"/>
        <v>1</v>
      </c>
      <c r="AC373" s="416" t="b">
        <f t="shared" si="159"/>
        <v>1</v>
      </c>
      <c r="AD373" s="416" t="b">
        <f t="shared" si="159"/>
        <v>1</v>
      </c>
      <c r="AE373" s="416" t="b">
        <f t="shared" si="159"/>
        <v>1</v>
      </c>
      <c r="AF373" s="416" t="b">
        <f t="shared" si="159"/>
        <v>1</v>
      </c>
      <c r="AG373" s="416" t="b">
        <f t="shared" si="159"/>
        <v>1</v>
      </c>
      <c r="AH373" s="416" t="b">
        <f t="shared" si="159"/>
        <v>1</v>
      </c>
      <c r="AI373" s="416" t="b">
        <f t="shared" si="159"/>
        <v>1</v>
      </c>
      <c r="AJ373" s="416" t="b">
        <f t="shared" si="159"/>
        <v>1</v>
      </c>
      <c r="AK373" s="416" t="b">
        <f t="shared" si="159"/>
        <v>1</v>
      </c>
      <c r="AL373" s="416" t="b">
        <f t="shared" si="159"/>
        <v>1</v>
      </c>
      <c r="AM373" s="416" t="b">
        <f t="shared" si="159"/>
        <v>1</v>
      </c>
      <c r="AN373" s="416" t="b">
        <f t="shared" si="159"/>
        <v>1</v>
      </c>
      <c r="AO373" s="416" t="b">
        <f t="shared" si="159"/>
        <v>1</v>
      </c>
    </row>
    <row r="374" spans="3:43" x14ac:dyDescent="0.35">
      <c r="C374" s="29"/>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spans="3:43" x14ac:dyDescent="0.35">
      <c r="C375" s="29"/>
      <c r="E375" t="s">
        <v>1098</v>
      </c>
      <c r="G375" t="s">
        <v>912</v>
      </c>
      <c r="J375" s="14" t="b">
        <f>J373</f>
        <v>1</v>
      </c>
      <c r="K375" s="14" t="b">
        <f t="shared" ref="K375:AO375" si="160">K373</f>
        <v>1</v>
      </c>
      <c r="L375" s="14" t="b">
        <f t="shared" si="160"/>
        <v>1</v>
      </c>
      <c r="M375" s="14" t="b">
        <f t="shared" si="160"/>
        <v>1</v>
      </c>
      <c r="N375" s="14" t="b">
        <f t="shared" si="160"/>
        <v>1</v>
      </c>
      <c r="O375" s="14" t="b">
        <f t="shared" si="160"/>
        <v>1</v>
      </c>
      <c r="P375" s="14" t="b">
        <f t="shared" si="160"/>
        <v>1</v>
      </c>
      <c r="Q375" s="14" t="b">
        <f t="shared" si="160"/>
        <v>1</v>
      </c>
      <c r="R375" s="14" t="b">
        <f t="shared" si="160"/>
        <v>1</v>
      </c>
      <c r="S375" s="14" t="b">
        <f t="shared" si="160"/>
        <v>1</v>
      </c>
      <c r="T375" s="14" t="b">
        <f t="shared" si="160"/>
        <v>1</v>
      </c>
      <c r="U375" s="14" t="b">
        <f t="shared" si="160"/>
        <v>1</v>
      </c>
      <c r="V375" s="14" t="b">
        <f t="shared" si="160"/>
        <v>1</v>
      </c>
      <c r="W375" s="14" t="b">
        <f t="shared" si="160"/>
        <v>1</v>
      </c>
      <c r="X375" s="14" t="b">
        <f t="shared" si="160"/>
        <v>1</v>
      </c>
      <c r="Y375" s="14" t="b">
        <f t="shared" si="160"/>
        <v>1</v>
      </c>
      <c r="Z375" s="14" t="b">
        <f t="shared" si="160"/>
        <v>1</v>
      </c>
      <c r="AA375" s="14" t="b">
        <f t="shared" si="160"/>
        <v>1</v>
      </c>
      <c r="AB375" s="14" t="b">
        <f t="shared" si="160"/>
        <v>1</v>
      </c>
      <c r="AC375" s="14" t="b">
        <f t="shared" si="160"/>
        <v>1</v>
      </c>
      <c r="AD375" s="14" t="b">
        <f t="shared" si="160"/>
        <v>1</v>
      </c>
      <c r="AE375" s="14" t="b">
        <f t="shared" si="160"/>
        <v>1</v>
      </c>
      <c r="AF375" s="14" t="b">
        <f t="shared" si="160"/>
        <v>1</v>
      </c>
      <c r="AG375" s="14" t="b">
        <f t="shared" si="160"/>
        <v>1</v>
      </c>
      <c r="AH375" s="14" t="b">
        <f t="shared" si="160"/>
        <v>1</v>
      </c>
      <c r="AI375" s="14" t="b">
        <f t="shared" si="160"/>
        <v>1</v>
      </c>
      <c r="AJ375" s="14" t="b">
        <f t="shared" si="160"/>
        <v>1</v>
      </c>
      <c r="AK375" s="14" t="b">
        <f t="shared" si="160"/>
        <v>1</v>
      </c>
      <c r="AL375" s="14" t="b">
        <f t="shared" si="160"/>
        <v>1</v>
      </c>
      <c r="AM375" s="14" t="b">
        <f t="shared" si="160"/>
        <v>1</v>
      </c>
      <c r="AN375" s="14" t="b">
        <f t="shared" si="160"/>
        <v>1</v>
      </c>
      <c r="AO375" s="14" t="b">
        <f t="shared" si="160"/>
        <v>1</v>
      </c>
    </row>
    <row r="376" spans="3:43" x14ac:dyDescent="0.35">
      <c r="C376" s="29"/>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spans="3:43" x14ac:dyDescent="0.35">
      <c r="C377" s="31" t="str">
        <f ca="1">INDEX('Version control'!$H$34:$H$57,MATCH($A$1,'Version control'!$F$34:$F$57,0),1)&amp;"-N: Revenue matching adders by timeband"</f>
        <v>Section 116-N: Revenue matching adders by timeband</v>
      </c>
      <c r="D377" s="31"/>
      <c r="E377" s="31"/>
      <c r="F377" s="31"/>
      <c r="G377" s="31"/>
      <c r="H377" s="31"/>
      <c r="I377" s="31"/>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31"/>
      <c r="AQ377" s="31"/>
    </row>
    <row r="378" spans="3:43" x14ac:dyDescent="0.35">
      <c r="C378" s="29"/>
      <c r="E378" s="32"/>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3:43" x14ac:dyDescent="0.35">
      <c r="C379" s="29"/>
      <c r="D379" s="29" t="s">
        <v>1148</v>
      </c>
      <c r="E379" s="32"/>
      <c r="I379" t="s">
        <v>154</v>
      </c>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Q379" t="s">
        <v>1128</v>
      </c>
    </row>
    <row r="380" spans="3:43" x14ac:dyDescent="0.35">
      <c r="C380" s="29"/>
      <c r="D380" s="29" t="s">
        <v>1099</v>
      </c>
      <c r="E380" s="32"/>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3:43" x14ac:dyDescent="0.35">
      <c r="C381" s="29"/>
      <c r="D381" s="29" t="s">
        <v>1100</v>
      </c>
      <c r="E381" s="32"/>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spans="3:43" x14ac:dyDescent="0.35">
      <c r="C382" s="29"/>
      <c r="E382" s="32"/>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spans="3:43" x14ac:dyDescent="0.35">
      <c r="C383" s="29"/>
      <c r="E383" s="32" t="s">
        <v>1101</v>
      </c>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spans="3:43" x14ac:dyDescent="0.35">
      <c r="C384" s="29"/>
      <c r="F384" s="23" t="s">
        <v>1102</v>
      </c>
      <c r="G384" s="23" t="s">
        <v>912</v>
      </c>
      <c r="H384" s="23"/>
      <c r="I384" s="23"/>
      <c r="J384" s="420" t="b">
        <f t="shared" ref="J384:AO384" si="161">J311</f>
        <v>1</v>
      </c>
      <c r="K384" s="420" t="b">
        <f t="shared" si="161"/>
        <v>1</v>
      </c>
      <c r="L384" s="420" t="b">
        <f t="shared" si="161"/>
        <v>1</v>
      </c>
      <c r="M384" s="420" t="b">
        <f t="shared" si="161"/>
        <v>1</v>
      </c>
      <c r="N384" s="420" t="b">
        <f t="shared" si="161"/>
        <v>1</v>
      </c>
      <c r="O384" s="420" t="b">
        <f t="shared" si="161"/>
        <v>1</v>
      </c>
      <c r="P384" s="420" t="b">
        <f t="shared" si="161"/>
        <v>1</v>
      </c>
      <c r="Q384" s="420" t="b">
        <f t="shared" si="161"/>
        <v>1</v>
      </c>
      <c r="R384" s="420" t="b">
        <f t="shared" si="161"/>
        <v>1</v>
      </c>
      <c r="S384" s="420" t="b">
        <f t="shared" si="161"/>
        <v>1</v>
      </c>
      <c r="T384" s="420" t="b">
        <f t="shared" si="161"/>
        <v>1</v>
      </c>
      <c r="U384" s="420" t="b">
        <f t="shared" si="161"/>
        <v>1</v>
      </c>
      <c r="V384" s="420" t="b">
        <f t="shared" si="161"/>
        <v>1</v>
      </c>
      <c r="W384" s="420" t="b">
        <f t="shared" si="161"/>
        <v>1</v>
      </c>
      <c r="X384" s="420" t="b">
        <f t="shared" si="161"/>
        <v>1</v>
      </c>
      <c r="Y384" s="420" t="b">
        <f t="shared" si="161"/>
        <v>1</v>
      </c>
      <c r="Z384" s="420" t="b">
        <f t="shared" si="161"/>
        <v>1</v>
      </c>
      <c r="AA384" s="420" t="b">
        <f t="shared" si="161"/>
        <v>1</v>
      </c>
      <c r="AB384" s="420" t="b">
        <f t="shared" si="161"/>
        <v>1</v>
      </c>
      <c r="AC384" s="420" t="b">
        <f t="shared" si="161"/>
        <v>1</v>
      </c>
      <c r="AD384" s="420" t="b">
        <f t="shared" si="161"/>
        <v>1</v>
      </c>
      <c r="AE384" s="420" t="b">
        <f t="shared" si="161"/>
        <v>1</v>
      </c>
      <c r="AF384" s="420" t="b">
        <f t="shared" si="161"/>
        <v>1</v>
      </c>
      <c r="AG384" s="420" t="b">
        <f t="shared" si="161"/>
        <v>1</v>
      </c>
      <c r="AH384" s="420" t="b">
        <f t="shared" si="161"/>
        <v>1</v>
      </c>
      <c r="AI384" s="420" t="b">
        <f t="shared" si="161"/>
        <v>1</v>
      </c>
      <c r="AJ384" s="420" t="b">
        <f t="shared" si="161"/>
        <v>1</v>
      </c>
      <c r="AK384" s="420" t="b">
        <f t="shared" si="161"/>
        <v>1</v>
      </c>
      <c r="AL384" s="420" t="b">
        <f t="shared" si="161"/>
        <v>1</v>
      </c>
      <c r="AM384" s="420" t="b">
        <f t="shared" si="161"/>
        <v>1</v>
      </c>
      <c r="AN384" s="420" t="b">
        <f t="shared" si="161"/>
        <v>1</v>
      </c>
      <c r="AO384" s="420" t="b">
        <f t="shared" si="161"/>
        <v>1</v>
      </c>
    </row>
    <row r="385" spans="3:41" x14ac:dyDescent="0.35">
      <c r="C385" s="29"/>
      <c r="F385" t="s">
        <v>1103</v>
      </c>
      <c r="G385" t="s">
        <v>912</v>
      </c>
      <c r="J385" s="420" t="b">
        <f t="shared" ref="J385:AO385" si="162">J343</f>
        <v>1</v>
      </c>
      <c r="K385" s="420" t="b">
        <f t="shared" si="162"/>
        <v>1</v>
      </c>
      <c r="L385" s="420" t="b">
        <f t="shared" si="162"/>
        <v>1</v>
      </c>
      <c r="M385" s="420" t="b">
        <f t="shared" si="162"/>
        <v>1</v>
      </c>
      <c r="N385" s="420" t="b">
        <f t="shared" si="162"/>
        <v>1</v>
      </c>
      <c r="O385" s="420" t="b">
        <f t="shared" si="162"/>
        <v>1</v>
      </c>
      <c r="P385" s="420" t="b">
        <f t="shared" si="162"/>
        <v>1</v>
      </c>
      <c r="Q385" s="420" t="b">
        <f t="shared" si="162"/>
        <v>1</v>
      </c>
      <c r="R385" s="420" t="b">
        <f t="shared" si="162"/>
        <v>1</v>
      </c>
      <c r="S385" s="420" t="b">
        <f t="shared" si="162"/>
        <v>1</v>
      </c>
      <c r="T385" s="420" t="b">
        <f t="shared" si="162"/>
        <v>1</v>
      </c>
      <c r="U385" s="420" t="b">
        <f t="shared" si="162"/>
        <v>1</v>
      </c>
      <c r="V385" s="420" t="b">
        <f t="shared" si="162"/>
        <v>1</v>
      </c>
      <c r="W385" s="420" t="b">
        <f t="shared" si="162"/>
        <v>1</v>
      </c>
      <c r="X385" s="420" t="b">
        <f t="shared" si="162"/>
        <v>1</v>
      </c>
      <c r="Y385" s="420" t="b">
        <f t="shared" si="162"/>
        <v>1</v>
      </c>
      <c r="Z385" s="420" t="b">
        <f t="shared" si="162"/>
        <v>1</v>
      </c>
      <c r="AA385" s="420" t="b">
        <f t="shared" si="162"/>
        <v>1</v>
      </c>
      <c r="AB385" s="420" t="b">
        <f t="shared" si="162"/>
        <v>1</v>
      </c>
      <c r="AC385" s="420" t="b">
        <f t="shared" si="162"/>
        <v>1</v>
      </c>
      <c r="AD385" s="420" t="b">
        <f t="shared" si="162"/>
        <v>1</v>
      </c>
      <c r="AE385" s="420" t="b">
        <f t="shared" si="162"/>
        <v>1</v>
      </c>
      <c r="AF385" s="420" t="b">
        <f t="shared" si="162"/>
        <v>1</v>
      </c>
      <c r="AG385" s="420" t="b">
        <f t="shared" si="162"/>
        <v>1</v>
      </c>
      <c r="AH385" s="420" t="b">
        <f t="shared" si="162"/>
        <v>1</v>
      </c>
      <c r="AI385" s="420" t="b">
        <f t="shared" si="162"/>
        <v>1</v>
      </c>
      <c r="AJ385" s="420" t="b">
        <f t="shared" si="162"/>
        <v>1</v>
      </c>
      <c r="AK385" s="420" t="b">
        <f t="shared" si="162"/>
        <v>1</v>
      </c>
      <c r="AL385" s="420" t="b">
        <f t="shared" si="162"/>
        <v>1</v>
      </c>
      <c r="AM385" s="420" t="b">
        <f t="shared" si="162"/>
        <v>1</v>
      </c>
      <c r="AN385" s="420" t="b">
        <f t="shared" si="162"/>
        <v>1</v>
      </c>
      <c r="AO385" s="420" t="b">
        <f t="shared" si="162"/>
        <v>1</v>
      </c>
    </row>
    <row r="386" spans="3:41" x14ac:dyDescent="0.35">
      <c r="C386" s="29"/>
      <c r="F386" s="37" t="s">
        <v>1104</v>
      </c>
      <c r="G386" s="37" t="s">
        <v>912</v>
      </c>
      <c r="H386" s="37"/>
      <c r="I386" s="37"/>
      <c r="J386" s="416" t="b">
        <f>J375</f>
        <v>1</v>
      </c>
      <c r="K386" s="416" t="b">
        <f t="shared" ref="K386:AO386" si="163">K375</f>
        <v>1</v>
      </c>
      <c r="L386" s="416" t="b">
        <f t="shared" si="163"/>
        <v>1</v>
      </c>
      <c r="M386" s="416" t="b">
        <f t="shared" si="163"/>
        <v>1</v>
      </c>
      <c r="N386" s="416" t="b">
        <f t="shared" si="163"/>
        <v>1</v>
      </c>
      <c r="O386" s="416" t="b">
        <f t="shared" si="163"/>
        <v>1</v>
      </c>
      <c r="P386" s="416" t="b">
        <f t="shared" si="163"/>
        <v>1</v>
      </c>
      <c r="Q386" s="416" t="b">
        <f t="shared" si="163"/>
        <v>1</v>
      </c>
      <c r="R386" s="416" t="b">
        <f t="shared" si="163"/>
        <v>1</v>
      </c>
      <c r="S386" s="416" t="b">
        <f t="shared" si="163"/>
        <v>1</v>
      </c>
      <c r="T386" s="416" t="b">
        <f t="shared" si="163"/>
        <v>1</v>
      </c>
      <c r="U386" s="416" t="b">
        <f t="shared" si="163"/>
        <v>1</v>
      </c>
      <c r="V386" s="416" t="b">
        <f t="shared" si="163"/>
        <v>1</v>
      </c>
      <c r="W386" s="416" t="b">
        <f t="shared" si="163"/>
        <v>1</v>
      </c>
      <c r="X386" s="416" t="b">
        <f t="shared" si="163"/>
        <v>1</v>
      </c>
      <c r="Y386" s="416" t="b">
        <f t="shared" si="163"/>
        <v>1</v>
      </c>
      <c r="Z386" s="416" t="b">
        <f t="shared" si="163"/>
        <v>1</v>
      </c>
      <c r="AA386" s="416" t="b">
        <f t="shared" si="163"/>
        <v>1</v>
      </c>
      <c r="AB386" s="416" t="b">
        <f t="shared" si="163"/>
        <v>1</v>
      </c>
      <c r="AC386" s="416" t="b">
        <f t="shared" si="163"/>
        <v>1</v>
      </c>
      <c r="AD386" s="416" t="b">
        <f t="shared" si="163"/>
        <v>1</v>
      </c>
      <c r="AE386" s="416" t="b">
        <f t="shared" si="163"/>
        <v>1</v>
      </c>
      <c r="AF386" s="416" t="b">
        <f t="shared" si="163"/>
        <v>1</v>
      </c>
      <c r="AG386" s="416" t="b">
        <f t="shared" si="163"/>
        <v>1</v>
      </c>
      <c r="AH386" s="416" t="b">
        <f t="shared" si="163"/>
        <v>1</v>
      </c>
      <c r="AI386" s="416" t="b">
        <f t="shared" si="163"/>
        <v>1</v>
      </c>
      <c r="AJ386" s="416" t="b">
        <f t="shared" si="163"/>
        <v>1</v>
      </c>
      <c r="AK386" s="416" t="b">
        <f t="shared" si="163"/>
        <v>1</v>
      </c>
      <c r="AL386" s="416" t="b">
        <f t="shared" si="163"/>
        <v>1</v>
      </c>
      <c r="AM386" s="416" t="b">
        <f t="shared" si="163"/>
        <v>1</v>
      </c>
      <c r="AN386" s="416" t="b">
        <f t="shared" si="163"/>
        <v>1</v>
      </c>
      <c r="AO386" s="416" t="b">
        <f t="shared" si="163"/>
        <v>1</v>
      </c>
    </row>
    <row r="387" spans="3:41" x14ac:dyDescent="0.35">
      <c r="C387" s="29"/>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spans="3:41" x14ac:dyDescent="0.35">
      <c r="C388" s="29"/>
      <c r="E388" s="32" t="s">
        <v>1105</v>
      </c>
      <c r="G388" t="s">
        <v>149</v>
      </c>
      <c r="J388" s="14">
        <f>COUNTIF(J384:J386, FALSE)+1</f>
        <v>1</v>
      </c>
      <c r="K388" s="14">
        <f t="shared" ref="K388:AO388" si="164">COUNTIF(K384:K386, FALSE)+1</f>
        <v>1</v>
      </c>
      <c r="L388" s="14">
        <f t="shared" si="164"/>
        <v>1</v>
      </c>
      <c r="M388" s="14">
        <f t="shared" si="164"/>
        <v>1</v>
      </c>
      <c r="N388" s="14">
        <f t="shared" si="164"/>
        <v>1</v>
      </c>
      <c r="O388" s="14">
        <f t="shared" si="164"/>
        <v>1</v>
      </c>
      <c r="P388" s="14">
        <f t="shared" si="164"/>
        <v>1</v>
      </c>
      <c r="Q388" s="14">
        <f t="shared" si="164"/>
        <v>1</v>
      </c>
      <c r="R388" s="14">
        <f t="shared" si="164"/>
        <v>1</v>
      </c>
      <c r="S388" s="14">
        <f t="shared" si="164"/>
        <v>1</v>
      </c>
      <c r="T388" s="14">
        <f t="shared" si="164"/>
        <v>1</v>
      </c>
      <c r="U388" s="14">
        <f t="shared" si="164"/>
        <v>1</v>
      </c>
      <c r="V388" s="14">
        <f t="shared" si="164"/>
        <v>1</v>
      </c>
      <c r="W388" s="14">
        <f t="shared" si="164"/>
        <v>1</v>
      </c>
      <c r="X388" s="14">
        <f t="shared" si="164"/>
        <v>1</v>
      </c>
      <c r="Y388" s="14">
        <f t="shared" si="164"/>
        <v>1</v>
      </c>
      <c r="Z388" s="14">
        <f t="shared" si="164"/>
        <v>1</v>
      </c>
      <c r="AA388" s="14">
        <f t="shared" si="164"/>
        <v>1</v>
      </c>
      <c r="AB388" s="14">
        <f t="shared" si="164"/>
        <v>1</v>
      </c>
      <c r="AC388" s="14">
        <f t="shared" si="164"/>
        <v>1</v>
      </c>
      <c r="AD388" s="14">
        <f t="shared" si="164"/>
        <v>1</v>
      </c>
      <c r="AE388" s="14">
        <f t="shared" si="164"/>
        <v>1</v>
      </c>
      <c r="AF388" s="14">
        <f t="shared" si="164"/>
        <v>1</v>
      </c>
      <c r="AG388" s="14">
        <f t="shared" si="164"/>
        <v>1</v>
      </c>
      <c r="AH388" s="14">
        <f t="shared" si="164"/>
        <v>1</v>
      </c>
      <c r="AI388" s="14">
        <f t="shared" si="164"/>
        <v>1</v>
      </c>
      <c r="AJ388" s="14">
        <f t="shared" si="164"/>
        <v>1</v>
      </c>
      <c r="AK388" s="14">
        <f t="shared" si="164"/>
        <v>1</v>
      </c>
      <c r="AL388" s="14">
        <f t="shared" si="164"/>
        <v>1</v>
      </c>
      <c r="AM388" s="14">
        <f t="shared" si="164"/>
        <v>1</v>
      </c>
      <c r="AN388" s="14">
        <f t="shared" si="164"/>
        <v>1</v>
      </c>
      <c r="AO388" s="14">
        <f t="shared" si="164"/>
        <v>1</v>
      </c>
    </row>
    <row r="389" spans="3:41" x14ac:dyDescent="0.35">
      <c r="C389" s="29"/>
      <c r="E389" s="2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38"/>
      <c r="AK389" s="338"/>
      <c r="AL389" s="338"/>
      <c r="AM389" s="338"/>
      <c r="AN389" s="338"/>
      <c r="AO389" s="338"/>
    </row>
    <row r="390" spans="3:41" x14ac:dyDescent="0.35">
      <c r="C390" s="29"/>
      <c r="E390" s="32" t="s">
        <v>1106</v>
      </c>
      <c r="F390" s="37"/>
      <c r="G390" s="37"/>
      <c r="H390" s="37"/>
      <c r="I390" s="37"/>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c r="AG390" s="416"/>
      <c r="AH390" s="416"/>
      <c r="AI390" s="416"/>
      <c r="AJ390" s="416"/>
      <c r="AK390" s="416"/>
      <c r="AL390" s="416"/>
      <c r="AM390" s="416"/>
      <c r="AN390" s="416"/>
      <c r="AO390" s="416"/>
    </row>
    <row r="391" spans="3:41" x14ac:dyDescent="0.35">
      <c r="C391" s="29"/>
      <c r="F391" s="23" t="s">
        <v>1102</v>
      </c>
      <c r="G391" s="23" t="s">
        <v>912</v>
      </c>
      <c r="H391" s="23"/>
      <c r="I391" s="23"/>
      <c r="J391" s="421">
        <f t="shared" ref="J391:AO391" si="165">J304</f>
        <v>0</v>
      </c>
      <c r="K391" s="421">
        <f t="shared" si="165"/>
        <v>0</v>
      </c>
      <c r="L391" s="421">
        <f t="shared" si="165"/>
        <v>0</v>
      </c>
      <c r="M391" s="421">
        <f t="shared" si="165"/>
        <v>0</v>
      </c>
      <c r="N391" s="421">
        <f t="shared" si="165"/>
        <v>0</v>
      </c>
      <c r="O391" s="421">
        <f t="shared" si="165"/>
        <v>0</v>
      </c>
      <c r="P391" s="421">
        <f t="shared" si="165"/>
        <v>0</v>
      </c>
      <c r="Q391" s="421">
        <f t="shared" si="165"/>
        <v>0</v>
      </c>
      <c r="R391" s="421">
        <f t="shared" si="165"/>
        <v>0</v>
      </c>
      <c r="S391" s="421">
        <f t="shared" si="165"/>
        <v>0</v>
      </c>
      <c r="T391" s="421">
        <f t="shared" si="165"/>
        <v>0</v>
      </c>
      <c r="U391" s="421">
        <f t="shared" si="165"/>
        <v>0</v>
      </c>
      <c r="V391" s="421">
        <f t="shared" si="165"/>
        <v>0</v>
      </c>
      <c r="W391" s="421">
        <f t="shared" si="165"/>
        <v>0</v>
      </c>
      <c r="X391" s="421">
        <f t="shared" si="165"/>
        <v>0</v>
      </c>
      <c r="Y391" s="421">
        <f t="shared" si="165"/>
        <v>0</v>
      </c>
      <c r="Z391" s="421">
        <f t="shared" si="165"/>
        <v>0</v>
      </c>
      <c r="AA391" s="421">
        <f t="shared" si="165"/>
        <v>0</v>
      </c>
      <c r="AB391" s="421">
        <f t="shared" si="165"/>
        <v>0</v>
      </c>
      <c r="AC391" s="421">
        <f t="shared" si="165"/>
        <v>0</v>
      </c>
      <c r="AD391" s="421">
        <f t="shared" si="165"/>
        <v>0</v>
      </c>
      <c r="AE391" s="421">
        <f t="shared" si="165"/>
        <v>0</v>
      </c>
      <c r="AF391" s="421">
        <f t="shared" si="165"/>
        <v>0</v>
      </c>
      <c r="AG391" s="421">
        <f t="shared" si="165"/>
        <v>0</v>
      </c>
      <c r="AH391" s="421">
        <f t="shared" si="165"/>
        <v>0</v>
      </c>
      <c r="AI391" s="421">
        <f t="shared" si="165"/>
        <v>0</v>
      </c>
      <c r="AJ391" s="421">
        <f t="shared" si="165"/>
        <v>0</v>
      </c>
      <c r="AK391" s="421">
        <f t="shared" si="165"/>
        <v>0</v>
      </c>
      <c r="AL391" s="421">
        <f t="shared" si="165"/>
        <v>0</v>
      </c>
      <c r="AM391" s="421">
        <f t="shared" si="165"/>
        <v>0</v>
      </c>
      <c r="AN391" s="421">
        <f t="shared" si="165"/>
        <v>0</v>
      </c>
      <c r="AO391" s="421">
        <f t="shared" si="165"/>
        <v>0</v>
      </c>
    </row>
    <row r="392" spans="3:41" x14ac:dyDescent="0.35">
      <c r="C392" s="29"/>
      <c r="F392" t="s">
        <v>1103</v>
      </c>
      <c r="G392" t="s">
        <v>912</v>
      </c>
      <c r="J392" s="421">
        <f t="shared" ref="J392:AO392" si="166">J336</f>
        <v>0</v>
      </c>
      <c r="K392" s="421">
        <f t="shared" si="166"/>
        <v>0</v>
      </c>
      <c r="L392" s="421">
        <f t="shared" si="166"/>
        <v>0</v>
      </c>
      <c r="M392" s="421">
        <f t="shared" si="166"/>
        <v>0</v>
      </c>
      <c r="N392" s="421">
        <f t="shared" si="166"/>
        <v>0</v>
      </c>
      <c r="O392" s="421">
        <f t="shared" si="166"/>
        <v>0</v>
      </c>
      <c r="P392" s="421">
        <f t="shared" si="166"/>
        <v>0</v>
      </c>
      <c r="Q392" s="421">
        <f t="shared" si="166"/>
        <v>0</v>
      </c>
      <c r="R392" s="421">
        <f t="shared" si="166"/>
        <v>0</v>
      </c>
      <c r="S392" s="421">
        <f t="shared" si="166"/>
        <v>0</v>
      </c>
      <c r="T392" s="421">
        <f t="shared" si="166"/>
        <v>0</v>
      </c>
      <c r="U392" s="421">
        <f t="shared" si="166"/>
        <v>0</v>
      </c>
      <c r="V392" s="421">
        <f t="shared" si="166"/>
        <v>0</v>
      </c>
      <c r="W392" s="421">
        <f t="shared" si="166"/>
        <v>0</v>
      </c>
      <c r="X392" s="421">
        <f t="shared" si="166"/>
        <v>0</v>
      </c>
      <c r="Y392" s="421">
        <f t="shared" si="166"/>
        <v>0</v>
      </c>
      <c r="Z392" s="421">
        <f t="shared" si="166"/>
        <v>0</v>
      </c>
      <c r="AA392" s="421">
        <f t="shared" si="166"/>
        <v>0</v>
      </c>
      <c r="AB392" s="421">
        <f t="shared" si="166"/>
        <v>0</v>
      </c>
      <c r="AC392" s="421">
        <f t="shared" si="166"/>
        <v>0</v>
      </c>
      <c r="AD392" s="421">
        <f t="shared" si="166"/>
        <v>0</v>
      </c>
      <c r="AE392" s="421">
        <f t="shared" si="166"/>
        <v>0</v>
      </c>
      <c r="AF392" s="421">
        <f t="shared" si="166"/>
        <v>0</v>
      </c>
      <c r="AG392" s="421">
        <f t="shared" si="166"/>
        <v>0</v>
      </c>
      <c r="AH392" s="421">
        <f t="shared" si="166"/>
        <v>0</v>
      </c>
      <c r="AI392" s="421">
        <f t="shared" si="166"/>
        <v>0</v>
      </c>
      <c r="AJ392" s="421">
        <f t="shared" si="166"/>
        <v>0</v>
      </c>
      <c r="AK392" s="421">
        <f t="shared" si="166"/>
        <v>0</v>
      </c>
      <c r="AL392" s="421">
        <f t="shared" si="166"/>
        <v>0</v>
      </c>
      <c r="AM392" s="421">
        <f t="shared" si="166"/>
        <v>0</v>
      </c>
      <c r="AN392" s="421">
        <f t="shared" si="166"/>
        <v>0</v>
      </c>
      <c r="AO392" s="421">
        <f t="shared" si="166"/>
        <v>0</v>
      </c>
    </row>
    <row r="393" spans="3:41" x14ac:dyDescent="0.35">
      <c r="C393" s="29"/>
      <c r="F393" s="37" t="s">
        <v>1104</v>
      </c>
      <c r="G393" s="37" t="s">
        <v>912</v>
      </c>
      <c r="H393" s="37"/>
      <c r="I393" s="37"/>
      <c r="J393" s="412">
        <f t="shared" ref="J393:AO393" si="167">J368</f>
        <v>0</v>
      </c>
      <c r="K393" s="412">
        <f t="shared" si="167"/>
        <v>0</v>
      </c>
      <c r="L393" s="412">
        <f t="shared" si="167"/>
        <v>0</v>
      </c>
      <c r="M393" s="412">
        <f t="shared" si="167"/>
        <v>0</v>
      </c>
      <c r="N393" s="412">
        <f t="shared" si="167"/>
        <v>0</v>
      </c>
      <c r="O393" s="412">
        <f t="shared" si="167"/>
        <v>0</v>
      </c>
      <c r="P393" s="412">
        <f t="shared" si="167"/>
        <v>0</v>
      </c>
      <c r="Q393" s="412">
        <f t="shared" si="167"/>
        <v>0</v>
      </c>
      <c r="R393" s="412">
        <f t="shared" si="167"/>
        <v>0</v>
      </c>
      <c r="S393" s="412">
        <f t="shared" si="167"/>
        <v>0</v>
      </c>
      <c r="T393" s="412">
        <f t="shared" si="167"/>
        <v>0</v>
      </c>
      <c r="U393" s="412">
        <f t="shared" si="167"/>
        <v>0</v>
      </c>
      <c r="V393" s="412">
        <f t="shared" si="167"/>
        <v>0</v>
      </c>
      <c r="W393" s="412">
        <f t="shared" si="167"/>
        <v>0</v>
      </c>
      <c r="X393" s="412">
        <f t="shared" si="167"/>
        <v>0</v>
      </c>
      <c r="Y393" s="412">
        <f t="shared" si="167"/>
        <v>0</v>
      </c>
      <c r="Z393" s="412">
        <f t="shared" si="167"/>
        <v>0</v>
      </c>
      <c r="AA393" s="412">
        <f t="shared" si="167"/>
        <v>0</v>
      </c>
      <c r="AB393" s="412">
        <f t="shared" si="167"/>
        <v>0</v>
      </c>
      <c r="AC393" s="412">
        <f t="shared" si="167"/>
        <v>0</v>
      </c>
      <c r="AD393" s="412">
        <f t="shared" si="167"/>
        <v>0</v>
      </c>
      <c r="AE393" s="412">
        <f t="shared" si="167"/>
        <v>0</v>
      </c>
      <c r="AF393" s="412">
        <f t="shared" si="167"/>
        <v>0</v>
      </c>
      <c r="AG393" s="412">
        <f t="shared" si="167"/>
        <v>0</v>
      </c>
      <c r="AH393" s="412">
        <f t="shared" si="167"/>
        <v>0</v>
      </c>
      <c r="AI393" s="412">
        <f t="shared" si="167"/>
        <v>0</v>
      </c>
      <c r="AJ393" s="412">
        <f t="shared" si="167"/>
        <v>0</v>
      </c>
      <c r="AK393" s="412">
        <f t="shared" si="167"/>
        <v>0</v>
      </c>
      <c r="AL393" s="412">
        <f t="shared" si="167"/>
        <v>0</v>
      </c>
      <c r="AM393" s="412">
        <f t="shared" si="167"/>
        <v>0</v>
      </c>
      <c r="AN393" s="412">
        <f t="shared" si="167"/>
        <v>0</v>
      </c>
      <c r="AO393" s="412">
        <f t="shared" si="167"/>
        <v>0</v>
      </c>
    </row>
    <row r="394" spans="3:41" x14ac:dyDescent="0.35">
      <c r="C394" s="29"/>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c r="AH394" s="338"/>
      <c r="AI394" s="338"/>
      <c r="AJ394" s="338"/>
      <c r="AK394" s="338"/>
      <c r="AL394" s="338"/>
      <c r="AM394" s="338"/>
      <c r="AN394" s="338"/>
      <c r="AO394" s="338"/>
    </row>
    <row r="395" spans="3:41" x14ac:dyDescent="0.35">
      <c r="C395" s="29"/>
      <c r="E395" s="410" t="s">
        <v>1107</v>
      </c>
      <c r="G395" t="s">
        <v>269</v>
      </c>
      <c r="J395" s="338">
        <f>INDEX(J391:J393,J388)</f>
        <v>0</v>
      </c>
      <c r="K395" s="338">
        <f t="shared" ref="K395:AO395" si="168">INDEX(K391:K393,K388)</f>
        <v>0</v>
      </c>
      <c r="L395" s="338">
        <f t="shared" si="168"/>
        <v>0</v>
      </c>
      <c r="M395" s="338">
        <f t="shared" si="168"/>
        <v>0</v>
      </c>
      <c r="N395" s="338">
        <f t="shared" si="168"/>
        <v>0</v>
      </c>
      <c r="O395" s="338">
        <f t="shared" si="168"/>
        <v>0</v>
      </c>
      <c r="P395" s="338">
        <f t="shared" si="168"/>
        <v>0</v>
      </c>
      <c r="Q395" s="338">
        <f t="shared" si="168"/>
        <v>0</v>
      </c>
      <c r="R395" s="338">
        <f t="shared" si="168"/>
        <v>0</v>
      </c>
      <c r="S395" s="338">
        <f t="shared" si="168"/>
        <v>0</v>
      </c>
      <c r="T395" s="338">
        <f t="shared" si="168"/>
        <v>0</v>
      </c>
      <c r="U395" s="338">
        <f t="shared" si="168"/>
        <v>0</v>
      </c>
      <c r="V395" s="338">
        <f t="shared" si="168"/>
        <v>0</v>
      </c>
      <c r="W395" s="338">
        <f t="shared" si="168"/>
        <v>0</v>
      </c>
      <c r="X395" s="338">
        <f t="shared" si="168"/>
        <v>0</v>
      </c>
      <c r="Y395" s="338">
        <f t="shared" si="168"/>
        <v>0</v>
      </c>
      <c r="Z395" s="338">
        <f t="shared" si="168"/>
        <v>0</v>
      </c>
      <c r="AA395" s="338">
        <f t="shared" si="168"/>
        <v>0</v>
      </c>
      <c r="AB395" s="338">
        <f t="shared" si="168"/>
        <v>0</v>
      </c>
      <c r="AC395" s="338">
        <f t="shared" si="168"/>
        <v>0</v>
      </c>
      <c r="AD395" s="338">
        <f t="shared" si="168"/>
        <v>0</v>
      </c>
      <c r="AE395" s="338">
        <f t="shared" si="168"/>
        <v>0</v>
      </c>
      <c r="AF395" s="338">
        <f t="shared" si="168"/>
        <v>0</v>
      </c>
      <c r="AG395" s="338">
        <f t="shared" si="168"/>
        <v>0</v>
      </c>
      <c r="AH395" s="338">
        <f t="shared" si="168"/>
        <v>0</v>
      </c>
      <c r="AI395" s="338">
        <f t="shared" si="168"/>
        <v>0</v>
      </c>
      <c r="AJ395" s="338">
        <f t="shared" si="168"/>
        <v>0</v>
      </c>
      <c r="AK395" s="338">
        <f t="shared" si="168"/>
        <v>0</v>
      </c>
      <c r="AL395" s="338">
        <f t="shared" si="168"/>
        <v>0</v>
      </c>
      <c r="AM395" s="338">
        <f t="shared" si="168"/>
        <v>0</v>
      </c>
      <c r="AN395" s="338">
        <f t="shared" si="168"/>
        <v>0</v>
      </c>
      <c r="AO395" s="338">
        <f t="shared" si="168"/>
        <v>0</v>
      </c>
    </row>
    <row r="396" spans="3:41" x14ac:dyDescent="0.35">
      <c r="C396" s="29"/>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spans="3:41" x14ac:dyDescent="0.35">
      <c r="C397" s="29"/>
      <c r="E397" s="32" t="s">
        <v>1108</v>
      </c>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spans="3:41" x14ac:dyDescent="0.35">
      <c r="C398" s="29"/>
      <c r="F398" s="23" t="s">
        <v>1061</v>
      </c>
      <c r="G398" s="23" t="s">
        <v>269</v>
      </c>
      <c r="H398" s="23"/>
      <c r="I398" s="23"/>
      <c r="J398" s="411">
        <f t="shared" ref="J398:AO400" si="169">MAX(J$395, J262)</f>
        <v>0</v>
      </c>
      <c r="K398" s="411">
        <f t="shared" si="169"/>
        <v>0</v>
      </c>
      <c r="L398" s="411">
        <f t="shared" si="169"/>
        <v>0</v>
      </c>
      <c r="M398" s="411">
        <f t="shared" si="169"/>
        <v>0</v>
      </c>
      <c r="N398" s="411">
        <f t="shared" si="169"/>
        <v>0</v>
      </c>
      <c r="O398" s="411">
        <f t="shared" si="169"/>
        <v>0</v>
      </c>
      <c r="P398" s="411">
        <f t="shared" si="169"/>
        <v>0</v>
      </c>
      <c r="Q398" s="411">
        <f t="shared" si="169"/>
        <v>0</v>
      </c>
      <c r="R398" s="411">
        <f t="shared" si="169"/>
        <v>0</v>
      </c>
      <c r="S398" s="411">
        <f t="shared" si="169"/>
        <v>0</v>
      </c>
      <c r="T398" s="411">
        <f t="shared" si="169"/>
        <v>0</v>
      </c>
      <c r="U398" s="411">
        <f t="shared" si="169"/>
        <v>0</v>
      </c>
      <c r="V398" s="411">
        <f t="shared" si="169"/>
        <v>0</v>
      </c>
      <c r="W398" s="411">
        <f t="shared" si="169"/>
        <v>0</v>
      </c>
      <c r="X398" s="411">
        <f t="shared" si="169"/>
        <v>0</v>
      </c>
      <c r="Y398" s="411">
        <f t="shared" si="169"/>
        <v>0</v>
      </c>
      <c r="Z398" s="411">
        <f t="shared" si="169"/>
        <v>0</v>
      </c>
      <c r="AA398" s="411">
        <f t="shared" si="169"/>
        <v>0</v>
      </c>
      <c r="AB398" s="411">
        <f t="shared" si="169"/>
        <v>0</v>
      </c>
      <c r="AC398" s="411">
        <f t="shared" si="169"/>
        <v>0</v>
      </c>
      <c r="AD398" s="411">
        <f t="shared" si="169"/>
        <v>0</v>
      </c>
      <c r="AE398" s="411">
        <f t="shared" si="169"/>
        <v>0</v>
      </c>
      <c r="AF398" s="411">
        <f t="shared" si="169"/>
        <v>0</v>
      </c>
      <c r="AG398" s="411">
        <f t="shared" si="169"/>
        <v>0</v>
      </c>
      <c r="AH398" s="411">
        <f t="shared" si="169"/>
        <v>0</v>
      </c>
      <c r="AI398" s="411">
        <f t="shared" si="169"/>
        <v>0</v>
      </c>
      <c r="AJ398" s="411">
        <f t="shared" si="169"/>
        <v>0</v>
      </c>
      <c r="AK398" s="411">
        <f t="shared" si="169"/>
        <v>0</v>
      </c>
      <c r="AL398" s="411">
        <f t="shared" si="169"/>
        <v>0</v>
      </c>
      <c r="AM398" s="411">
        <f t="shared" si="169"/>
        <v>0</v>
      </c>
      <c r="AN398" s="411">
        <f t="shared" si="169"/>
        <v>0</v>
      </c>
      <c r="AO398" s="411">
        <f t="shared" si="169"/>
        <v>0</v>
      </c>
    </row>
    <row r="399" spans="3:41" x14ac:dyDescent="0.35">
      <c r="C399" s="29"/>
      <c r="F399" t="s">
        <v>1062</v>
      </c>
      <c r="G399" t="s">
        <v>269</v>
      </c>
      <c r="J399" s="338">
        <f t="shared" si="169"/>
        <v>0</v>
      </c>
      <c r="K399" s="338">
        <f t="shared" si="169"/>
        <v>0</v>
      </c>
      <c r="L399" s="338">
        <f t="shared" si="169"/>
        <v>0</v>
      </c>
      <c r="M399" s="338">
        <f t="shared" si="169"/>
        <v>0</v>
      </c>
      <c r="N399" s="338">
        <f t="shared" si="169"/>
        <v>0</v>
      </c>
      <c r="O399" s="338">
        <f t="shared" si="169"/>
        <v>0</v>
      </c>
      <c r="P399" s="338">
        <f t="shared" si="169"/>
        <v>0</v>
      </c>
      <c r="Q399" s="338">
        <f t="shared" si="169"/>
        <v>0</v>
      </c>
      <c r="R399" s="338">
        <f t="shared" si="169"/>
        <v>0</v>
      </c>
      <c r="S399" s="338">
        <f t="shared" si="169"/>
        <v>0</v>
      </c>
      <c r="T399" s="338">
        <f t="shared" si="169"/>
        <v>0</v>
      </c>
      <c r="U399" s="338">
        <f t="shared" si="169"/>
        <v>0</v>
      </c>
      <c r="V399" s="338">
        <f t="shared" si="169"/>
        <v>0</v>
      </c>
      <c r="W399" s="338">
        <f t="shared" si="169"/>
        <v>0</v>
      </c>
      <c r="X399" s="338">
        <f t="shared" si="169"/>
        <v>0</v>
      </c>
      <c r="Y399" s="338">
        <f t="shared" si="169"/>
        <v>0</v>
      </c>
      <c r="Z399" s="338">
        <f t="shared" si="169"/>
        <v>0</v>
      </c>
      <c r="AA399" s="338">
        <f t="shared" si="169"/>
        <v>0</v>
      </c>
      <c r="AB399" s="338">
        <f t="shared" si="169"/>
        <v>0</v>
      </c>
      <c r="AC399" s="338">
        <f t="shared" si="169"/>
        <v>0</v>
      </c>
      <c r="AD399" s="338">
        <f t="shared" si="169"/>
        <v>0</v>
      </c>
      <c r="AE399" s="338">
        <f t="shared" si="169"/>
        <v>0</v>
      </c>
      <c r="AF399" s="338">
        <f t="shared" si="169"/>
        <v>0</v>
      </c>
      <c r="AG399" s="338">
        <f t="shared" si="169"/>
        <v>0</v>
      </c>
      <c r="AH399" s="338">
        <f t="shared" si="169"/>
        <v>0</v>
      </c>
      <c r="AI399" s="338">
        <f t="shared" si="169"/>
        <v>0</v>
      </c>
      <c r="AJ399" s="338">
        <f t="shared" si="169"/>
        <v>0</v>
      </c>
      <c r="AK399" s="338">
        <f t="shared" si="169"/>
        <v>0</v>
      </c>
      <c r="AL399" s="338">
        <f t="shared" si="169"/>
        <v>0</v>
      </c>
      <c r="AM399" s="338">
        <f t="shared" si="169"/>
        <v>0</v>
      </c>
      <c r="AN399" s="338">
        <f t="shared" si="169"/>
        <v>0</v>
      </c>
      <c r="AO399" s="338">
        <f t="shared" si="169"/>
        <v>0</v>
      </c>
    </row>
    <row r="400" spans="3:41" x14ac:dyDescent="0.35">
      <c r="C400" s="29"/>
      <c r="F400" s="37" t="s">
        <v>1063</v>
      </c>
      <c r="G400" s="37" t="s">
        <v>269</v>
      </c>
      <c r="H400" s="37"/>
      <c r="I400" s="37"/>
      <c r="J400" s="412">
        <f t="shared" si="169"/>
        <v>0</v>
      </c>
      <c r="K400" s="412">
        <f t="shared" si="169"/>
        <v>0</v>
      </c>
      <c r="L400" s="412">
        <f t="shared" si="169"/>
        <v>0</v>
      </c>
      <c r="M400" s="412">
        <f t="shared" si="169"/>
        <v>0</v>
      </c>
      <c r="N400" s="412">
        <f t="shared" si="169"/>
        <v>0</v>
      </c>
      <c r="O400" s="412">
        <f t="shared" si="169"/>
        <v>0</v>
      </c>
      <c r="P400" s="412">
        <f t="shared" si="169"/>
        <v>0</v>
      </c>
      <c r="Q400" s="412">
        <f t="shared" si="169"/>
        <v>0</v>
      </c>
      <c r="R400" s="412">
        <f t="shared" si="169"/>
        <v>0</v>
      </c>
      <c r="S400" s="412">
        <f t="shared" si="169"/>
        <v>0</v>
      </c>
      <c r="T400" s="412">
        <f t="shared" si="169"/>
        <v>0</v>
      </c>
      <c r="U400" s="412">
        <f t="shared" si="169"/>
        <v>0</v>
      </c>
      <c r="V400" s="412">
        <f t="shared" si="169"/>
        <v>0</v>
      </c>
      <c r="W400" s="412">
        <f t="shared" si="169"/>
        <v>0</v>
      </c>
      <c r="X400" s="412">
        <f t="shared" si="169"/>
        <v>0</v>
      </c>
      <c r="Y400" s="412">
        <f t="shared" si="169"/>
        <v>0</v>
      </c>
      <c r="Z400" s="412">
        <f t="shared" si="169"/>
        <v>0</v>
      </c>
      <c r="AA400" s="412">
        <f t="shared" si="169"/>
        <v>0</v>
      </c>
      <c r="AB400" s="412">
        <f t="shared" si="169"/>
        <v>0</v>
      </c>
      <c r="AC400" s="412">
        <f t="shared" si="169"/>
        <v>0</v>
      </c>
      <c r="AD400" s="412">
        <f t="shared" si="169"/>
        <v>0</v>
      </c>
      <c r="AE400" s="412">
        <f t="shared" si="169"/>
        <v>0</v>
      </c>
      <c r="AF400" s="412">
        <f t="shared" si="169"/>
        <v>0</v>
      </c>
      <c r="AG400" s="412">
        <f t="shared" si="169"/>
        <v>0</v>
      </c>
      <c r="AH400" s="412">
        <f t="shared" si="169"/>
        <v>0</v>
      </c>
      <c r="AI400" s="412">
        <f t="shared" si="169"/>
        <v>0</v>
      </c>
      <c r="AJ400" s="412">
        <f t="shared" si="169"/>
        <v>0</v>
      </c>
      <c r="AK400" s="412">
        <f t="shared" si="169"/>
        <v>0</v>
      </c>
      <c r="AL400" s="412">
        <f t="shared" si="169"/>
        <v>0</v>
      </c>
      <c r="AM400" s="412">
        <f t="shared" si="169"/>
        <v>0</v>
      </c>
      <c r="AN400" s="412">
        <f t="shared" si="169"/>
        <v>0</v>
      </c>
      <c r="AO400" s="412">
        <f t="shared" si="169"/>
        <v>0</v>
      </c>
    </row>
    <row r="401" spans="2:43" x14ac:dyDescent="0.35">
      <c r="C401" s="29"/>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spans="2:43" x14ac:dyDescent="0.35">
      <c r="C402" s="29"/>
      <c r="E402" s="32" t="s">
        <v>1109</v>
      </c>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2:43" x14ac:dyDescent="0.35">
      <c r="C403" s="29"/>
      <c r="F403" s="23" t="s">
        <v>156</v>
      </c>
      <c r="G403" s="23" t="s">
        <v>269</v>
      </c>
      <c r="H403" s="23"/>
      <c r="I403" s="23"/>
      <c r="J403" s="411">
        <f t="shared" ref="J403:AO405" si="170">IF(J$237, INDEX(J$398:J$400,J267), 0)</f>
        <v>0</v>
      </c>
      <c r="K403" s="411">
        <f t="shared" si="170"/>
        <v>0</v>
      </c>
      <c r="L403" s="411">
        <f t="shared" si="170"/>
        <v>0</v>
      </c>
      <c r="M403" s="411">
        <f t="shared" si="170"/>
        <v>0</v>
      </c>
      <c r="N403" s="411">
        <f t="shared" si="170"/>
        <v>0</v>
      </c>
      <c r="O403" s="411">
        <f t="shared" si="170"/>
        <v>0</v>
      </c>
      <c r="P403" s="411">
        <f t="shared" si="170"/>
        <v>0</v>
      </c>
      <c r="Q403" s="411">
        <f t="shared" si="170"/>
        <v>0</v>
      </c>
      <c r="R403" s="411">
        <f t="shared" si="170"/>
        <v>0</v>
      </c>
      <c r="S403" s="411">
        <f t="shared" si="170"/>
        <v>0</v>
      </c>
      <c r="T403" s="411">
        <f t="shared" si="170"/>
        <v>0</v>
      </c>
      <c r="U403" s="411">
        <f t="shared" si="170"/>
        <v>0</v>
      </c>
      <c r="V403" s="411">
        <f t="shared" si="170"/>
        <v>0</v>
      </c>
      <c r="W403" s="411">
        <f t="shared" si="170"/>
        <v>0</v>
      </c>
      <c r="X403" s="411">
        <f t="shared" si="170"/>
        <v>0</v>
      </c>
      <c r="Y403" s="411">
        <f t="shared" si="170"/>
        <v>0</v>
      </c>
      <c r="Z403" s="411">
        <f t="shared" si="170"/>
        <v>0</v>
      </c>
      <c r="AA403" s="411">
        <f t="shared" si="170"/>
        <v>0</v>
      </c>
      <c r="AB403" s="411">
        <f t="shared" si="170"/>
        <v>0</v>
      </c>
      <c r="AC403" s="411">
        <f t="shared" si="170"/>
        <v>0</v>
      </c>
      <c r="AD403" s="411">
        <f t="shared" si="170"/>
        <v>0</v>
      </c>
      <c r="AE403" s="411">
        <f t="shared" si="170"/>
        <v>0</v>
      </c>
      <c r="AF403" s="411">
        <f t="shared" si="170"/>
        <v>0</v>
      </c>
      <c r="AG403" s="411">
        <f t="shared" si="170"/>
        <v>0</v>
      </c>
      <c r="AH403" s="411">
        <f t="shared" si="170"/>
        <v>0</v>
      </c>
      <c r="AI403" s="411">
        <f t="shared" si="170"/>
        <v>0</v>
      </c>
      <c r="AJ403" s="411">
        <f t="shared" si="170"/>
        <v>0</v>
      </c>
      <c r="AK403" s="411">
        <f t="shared" si="170"/>
        <v>0</v>
      </c>
      <c r="AL403" s="411">
        <f t="shared" si="170"/>
        <v>0</v>
      </c>
      <c r="AM403" s="411">
        <f t="shared" si="170"/>
        <v>0</v>
      </c>
      <c r="AN403" s="411">
        <f t="shared" si="170"/>
        <v>0</v>
      </c>
      <c r="AO403" s="411">
        <f t="shared" si="170"/>
        <v>0</v>
      </c>
    </row>
    <row r="404" spans="2:43" x14ac:dyDescent="0.35">
      <c r="C404" s="29"/>
      <c r="F404" t="s">
        <v>157</v>
      </c>
      <c r="G404" t="s">
        <v>269</v>
      </c>
      <c r="J404" s="338">
        <f t="shared" si="170"/>
        <v>0</v>
      </c>
      <c r="K404" s="338">
        <f t="shared" si="170"/>
        <v>0</v>
      </c>
      <c r="L404" s="338">
        <f t="shared" si="170"/>
        <v>0</v>
      </c>
      <c r="M404" s="338">
        <f t="shared" si="170"/>
        <v>0</v>
      </c>
      <c r="N404" s="338">
        <f t="shared" si="170"/>
        <v>0</v>
      </c>
      <c r="O404" s="338">
        <f t="shared" si="170"/>
        <v>0</v>
      </c>
      <c r="P404" s="338">
        <f t="shared" si="170"/>
        <v>0</v>
      </c>
      <c r="Q404" s="338">
        <f t="shared" si="170"/>
        <v>0</v>
      </c>
      <c r="R404" s="338">
        <f t="shared" si="170"/>
        <v>0</v>
      </c>
      <c r="S404" s="338">
        <f t="shared" si="170"/>
        <v>0</v>
      </c>
      <c r="T404" s="338">
        <f t="shared" si="170"/>
        <v>0</v>
      </c>
      <c r="U404" s="338">
        <f t="shared" si="170"/>
        <v>0</v>
      </c>
      <c r="V404" s="338">
        <f t="shared" si="170"/>
        <v>0</v>
      </c>
      <c r="W404" s="338">
        <f t="shared" si="170"/>
        <v>0</v>
      </c>
      <c r="X404" s="338">
        <f t="shared" si="170"/>
        <v>0</v>
      </c>
      <c r="Y404" s="338">
        <f t="shared" si="170"/>
        <v>0</v>
      </c>
      <c r="Z404" s="338">
        <f t="shared" si="170"/>
        <v>0</v>
      </c>
      <c r="AA404" s="338">
        <f t="shared" si="170"/>
        <v>0</v>
      </c>
      <c r="AB404" s="338">
        <f t="shared" si="170"/>
        <v>0</v>
      </c>
      <c r="AC404" s="338">
        <f t="shared" si="170"/>
        <v>0</v>
      </c>
      <c r="AD404" s="338">
        <f t="shared" si="170"/>
        <v>0</v>
      </c>
      <c r="AE404" s="338">
        <f t="shared" si="170"/>
        <v>0</v>
      </c>
      <c r="AF404" s="338">
        <f t="shared" si="170"/>
        <v>0</v>
      </c>
      <c r="AG404" s="338">
        <f t="shared" si="170"/>
        <v>0</v>
      </c>
      <c r="AH404" s="338">
        <f t="shared" si="170"/>
        <v>0</v>
      </c>
      <c r="AI404" s="338">
        <f t="shared" si="170"/>
        <v>0</v>
      </c>
      <c r="AJ404" s="338">
        <f t="shared" si="170"/>
        <v>0</v>
      </c>
      <c r="AK404" s="338">
        <f t="shared" si="170"/>
        <v>0</v>
      </c>
      <c r="AL404" s="338">
        <f t="shared" si="170"/>
        <v>0</v>
      </c>
      <c r="AM404" s="338">
        <f t="shared" si="170"/>
        <v>0</v>
      </c>
      <c r="AN404" s="338">
        <f t="shared" si="170"/>
        <v>0</v>
      </c>
      <c r="AO404" s="338">
        <f t="shared" si="170"/>
        <v>0</v>
      </c>
    </row>
    <row r="405" spans="2:43" x14ac:dyDescent="0.35">
      <c r="C405" s="29"/>
      <c r="F405" s="37" t="s">
        <v>158</v>
      </c>
      <c r="G405" s="37" t="s">
        <v>269</v>
      </c>
      <c r="H405" s="37"/>
      <c r="I405" s="37"/>
      <c r="J405" s="412">
        <f t="shared" si="170"/>
        <v>0</v>
      </c>
      <c r="K405" s="412">
        <f t="shared" si="170"/>
        <v>0</v>
      </c>
      <c r="L405" s="412">
        <f t="shared" si="170"/>
        <v>0</v>
      </c>
      <c r="M405" s="412">
        <f t="shared" si="170"/>
        <v>0</v>
      </c>
      <c r="N405" s="412">
        <f t="shared" si="170"/>
        <v>0</v>
      </c>
      <c r="O405" s="412">
        <f t="shared" si="170"/>
        <v>0</v>
      </c>
      <c r="P405" s="412">
        <f t="shared" si="170"/>
        <v>0</v>
      </c>
      <c r="Q405" s="412">
        <f t="shared" si="170"/>
        <v>0</v>
      </c>
      <c r="R405" s="412">
        <f t="shared" si="170"/>
        <v>0</v>
      </c>
      <c r="S405" s="412">
        <f t="shared" si="170"/>
        <v>0</v>
      </c>
      <c r="T405" s="412">
        <f t="shared" si="170"/>
        <v>0</v>
      </c>
      <c r="U405" s="412">
        <f t="shared" si="170"/>
        <v>0</v>
      </c>
      <c r="V405" s="412">
        <f t="shared" si="170"/>
        <v>0</v>
      </c>
      <c r="W405" s="412">
        <f t="shared" si="170"/>
        <v>0</v>
      </c>
      <c r="X405" s="412">
        <f t="shared" si="170"/>
        <v>0</v>
      </c>
      <c r="Y405" s="412">
        <f t="shared" si="170"/>
        <v>0</v>
      </c>
      <c r="Z405" s="412">
        <f t="shared" si="170"/>
        <v>0</v>
      </c>
      <c r="AA405" s="412">
        <f t="shared" si="170"/>
        <v>0</v>
      </c>
      <c r="AB405" s="412">
        <f t="shared" si="170"/>
        <v>0</v>
      </c>
      <c r="AC405" s="412">
        <f t="shared" si="170"/>
        <v>0</v>
      </c>
      <c r="AD405" s="412">
        <f t="shared" si="170"/>
        <v>0</v>
      </c>
      <c r="AE405" s="412">
        <f t="shared" si="170"/>
        <v>0</v>
      </c>
      <c r="AF405" s="412">
        <f t="shared" si="170"/>
        <v>0</v>
      </c>
      <c r="AG405" s="412">
        <f t="shared" si="170"/>
        <v>0</v>
      </c>
      <c r="AH405" s="412">
        <f t="shared" si="170"/>
        <v>0</v>
      </c>
      <c r="AI405" s="412">
        <f t="shared" si="170"/>
        <v>0</v>
      </c>
      <c r="AJ405" s="412">
        <f t="shared" si="170"/>
        <v>0</v>
      </c>
      <c r="AK405" s="412">
        <f t="shared" si="170"/>
        <v>0</v>
      </c>
      <c r="AL405" s="412">
        <f t="shared" si="170"/>
        <v>0</v>
      </c>
      <c r="AM405" s="412">
        <f t="shared" si="170"/>
        <v>0</v>
      </c>
      <c r="AN405" s="412">
        <f t="shared" si="170"/>
        <v>0</v>
      </c>
      <c r="AO405" s="412">
        <f t="shared" si="170"/>
        <v>0</v>
      </c>
    </row>
    <row r="406" spans="2:43" x14ac:dyDescent="0.35">
      <c r="C406" s="29"/>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2:43" x14ac:dyDescent="0.35">
      <c r="B407" s="30" t="s">
        <v>1027</v>
      </c>
      <c r="C407" s="30"/>
      <c r="D407" s="30"/>
      <c r="E407" s="30"/>
      <c r="F407" s="30"/>
      <c r="G407" s="30"/>
      <c r="H407" s="30"/>
      <c r="I407" s="3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105"/>
      <c r="AQ407" s="105"/>
    </row>
    <row r="408" spans="2:43" x14ac:dyDescent="0.35">
      <c r="C408" s="29"/>
      <c r="J408" s="14"/>
      <c r="K408" s="14"/>
      <c r="L408" s="14"/>
      <c r="M408" s="14"/>
      <c r="N408" s="338"/>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spans="2:43" x14ac:dyDescent="0.35">
      <c r="C409" s="31" t="str">
        <f ca="1">INDEX('Version control'!$H$34:$H$57,MATCH($A$1,'Version control'!$F$34:$F$57,0),1)&amp;"-O: Final adders"</f>
        <v>Section 116-O: Final adders</v>
      </c>
      <c r="D409" s="31"/>
      <c r="E409" s="31"/>
      <c r="F409" s="31"/>
      <c r="G409" s="31"/>
      <c r="H409" s="31"/>
      <c r="I409" s="31"/>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31"/>
      <c r="AQ409" s="31"/>
    </row>
    <row r="410" spans="2:43" x14ac:dyDescent="0.35">
      <c r="C410" s="29"/>
      <c r="E410" s="32"/>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spans="2:43" x14ac:dyDescent="0.35">
      <c r="C411" s="29"/>
      <c r="E411" s="88" t="s">
        <v>943</v>
      </c>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spans="2:43" x14ac:dyDescent="0.35">
      <c r="C412" s="29"/>
      <c r="F412" s="23" t="s">
        <v>156</v>
      </c>
      <c r="G412" s="23" t="s">
        <v>269</v>
      </c>
      <c r="H412" s="23"/>
      <c r="I412" s="23"/>
      <c r="J412" s="274">
        <f>J403 + J$207</f>
        <v>0</v>
      </c>
      <c r="K412" s="274">
        <f t="shared" ref="K412:AO412" si="171">K403 + K$207</f>
        <v>0</v>
      </c>
      <c r="L412" s="274">
        <f t="shared" si="171"/>
        <v>0</v>
      </c>
      <c r="M412" s="274">
        <f t="shared" si="171"/>
        <v>0</v>
      </c>
      <c r="N412" s="274">
        <f t="shared" si="171"/>
        <v>0</v>
      </c>
      <c r="O412" s="274">
        <f t="shared" si="171"/>
        <v>0</v>
      </c>
      <c r="P412" s="274">
        <f t="shared" si="171"/>
        <v>0</v>
      </c>
      <c r="Q412" s="274">
        <f t="shared" si="171"/>
        <v>0</v>
      </c>
      <c r="R412" s="274">
        <f t="shared" si="171"/>
        <v>0</v>
      </c>
      <c r="S412" s="274">
        <f t="shared" si="171"/>
        <v>0</v>
      </c>
      <c r="T412" s="274">
        <f t="shared" si="171"/>
        <v>0</v>
      </c>
      <c r="U412" s="274">
        <f t="shared" si="171"/>
        <v>0</v>
      </c>
      <c r="V412" s="274">
        <f t="shared" si="171"/>
        <v>0</v>
      </c>
      <c r="W412" s="274">
        <f t="shared" si="171"/>
        <v>0</v>
      </c>
      <c r="X412" s="274">
        <f t="shared" si="171"/>
        <v>0</v>
      </c>
      <c r="Y412" s="274">
        <f t="shared" si="171"/>
        <v>0</v>
      </c>
      <c r="Z412" s="274">
        <f t="shared" si="171"/>
        <v>0</v>
      </c>
      <c r="AA412" s="274">
        <f t="shared" si="171"/>
        <v>0</v>
      </c>
      <c r="AB412" s="274">
        <f t="shared" si="171"/>
        <v>0</v>
      </c>
      <c r="AC412" s="274">
        <f t="shared" si="171"/>
        <v>0</v>
      </c>
      <c r="AD412" s="274">
        <f t="shared" si="171"/>
        <v>0</v>
      </c>
      <c r="AE412" s="274">
        <f t="shared" si="171"/>
        <v>0</v>
      </c>
      <c r="AF412" s="274">
        <f t="shared" si="171"/>
        <v>0</v>
      </c>
      <c r="AG412" s="274">
        <f t="shared" si="171"/>
        <v>0.91062483734601884</v>
      </c>
      <c r="AH412" s="274">
        <f t="shared" si="171"/>
        <v>0</v>
      </c>
      <c r="AI412" s="274">
        <f t="shared" si="171"/>
        <v>0</v>
      </c>
      <c r="AJ412" s="274">
        <f t="shared" si="171"/>
        <v>0</v>
      </c>
      <c r="AK412" s="274">
        <f t="shared" si="171"/>
        <v>0</v>
      </c>
      <c r="AL412" s="274">
        <f t="shared" si="171"/>
        <v>0</v>
      </c>
      <c r="AM412" s="274">
        <f t="shared" si="171"/>
        <v>0</v>
      </c>
      <c r="AN412" s="274">
        <f t="shared" si="171"/>
        <v>0</v>
      </c>
      <c r="AO412" s="274">
        <f t="shared" si="171"/>
        <v>0</v>
      </c>
    </row>
    <row r="413" spans="2:43" x14ac:dyDescent="0.35">
      <c r="C413" s="29"/>
      <c r="F413" t="s">
        <v>157</v>
      </c>
      <c r="G413" t="s">
        <v>269</v>
      </c>
      <c r="J413" s="275">
        <f t="shared" ref="J413:AO414" si="172">J404 + J$207</f>
        <v>0</v>
      </c>
      <c r="K413" s="275">
        <f t="shared" si="172"/>
        <v>0</v>
      </c>
      <c r="L413" s="275">
        <f t="shared" si="172"/>
        <v>0</v>
      </c>
      <c r="M413" s="275">
        <f t="shared" si="172"/>
        <v>0</v>
      </c>
      <c r="N413" s="275">
        <f t="shared" si="172"/>
        <v>0</v>
      </c>
      <c r="O413" s="275">
        <f t="shared" si="172"/>
        <v>0</v>
      </c>
      <c r="P413" s="275">
        <f t="shared" si="172"/>
        <v>0</v>
      </c>
      <c r="Q413" s="275">
        <f t="shared" si="172"/>
        <v>0</v>
      </c>
      <c r="R413" s="275">
        <f t="shared" si="172"/>
        <v>0</v>
      </c>
      <c r="S413" s="275">
        <f t="shared" si="172"/>
        <v>0</v>
      </c>
      <c r="T413" s="275">
        <f t="shared" si="172"/>
        <v>0</v>
      </c>
      <c r="U413" s="275">
        <f t="shared" si="172"/>
        <v>0</v>
      </c>
      <c r="V413" s="275">
        <f t="shared" si="172"/>
        <v>0</v>
      </c>
      <c r="W413" s="275">
        <f t="shared" si="172"/>
        <v>0</v>
      </c>
      <c r="X413" s="275">
        <f t="shared" si="172"/>
        <v>0</v>
      </c>
      <c r="Y413" s="275">
        <f t="shared" si="172"/>
        <v>0</v>
      </c>
      <c r="Z413" s="275">
        <f t="shared" si="172"/>
        <v>0</v>
      </c>
      <c r="AA413" s="275">
        <f t="shared" si="172"/>
        <v>0</v>
      </c>
      <c r="AB413" s="275">
        <f t="shared" si="172"/>
        <v>0</v>
      </c>
      <c r="AC413" s="275">
        <f t="shared" si="172"/>
        <v>0</v>
      </c>
      <c r="AD413" s="275">
        <f t="shared" si="172"/>
        <v>0</v>
      </c>
      <c r="AE413" s="275">
        <f t="shared" si="172"/>
        <v>0</v>
      </c>
      <c r="AF413" s="275">
        <f t="shared" si="172"/>
        <v>0</v>
      </c>
      <c r="AG413" s="275">
        <f t="shared" si="172"/>
        <v>0.91062483734601884</v>
      </c>
      <c r="AH413" s="275">
        <f t="shared" si="172"/>
        <v>0</v>
      </c>
      <c r="AI413" s="275">
        <f t="shared" si="172"/>
        <v>0</v>
      </c>
      <c r="AJ413" s="275">
        <f t="shared" si="172"/>
        <v>0</v>
      </c>
      <c r="AK413" s="275">
        <f t="shared" si="172"/>
        <v>0</v>
      </c>
      <c r="AL413" s="275">
        <f t="shared" si="172"/>
        <v>0</v>
      </c>
      <c r="AM413" s="275">
        <f t="shared" si="172"/>
        <v>0</v>
      </c>
      <c r="AN413" s="275">
        <f t="shared" si="172"/>
        <v>0</v>
      </c>
      <c r="AO413" s="275">
        <f t="shared" si="172"/>
        <v>0</v>
      </c>
    </row>
    <row r="414" spans="2:43" x14ac:dyDescent="0.35">
      <c r="C414" s="29"/>
      <c r="F414" t="s">
        <v>158</v>
      </c>
      <c r="G414" t="s">
        <v>269</v>
      </c>
      <c r="J414" s="276">
        <f t="shared" si="172"/>
        <v>0</v>
      </c>
      <c r="K414" s="276">
        <f t="shared" si="172"/>
        <v>0</v>
      </c>
      <c r="L414" s="276">
        <f t="shared" si="172"/>
        <v>0</v>
      </c>
      <c r="M414" s="276">
        <f t="shared" si="172"/>
        <v>0</v>
      </c>
      <c r="N414" s="276">
        <f t="shared" si="172"/>
        <v>0</v>
      </c>
      <c r="O414" s="276">
        <f t="shared" si="172"/>
        <v>0</v>
      </c>
      <c r="P414" s="276">
        <f t="shared" si="172"/>
        <v>0</v>
      </c>
      <c r="Q414" s="276">
        <f t="shared" si="172"/>
        <v>0</v>
      </c>
      <c r="R414" s="276">
        <f t="shared" si="172"/>
        <v>0</v>
      </c>
      <c r="S414" s="276">
        <f t="shared" si="172"/>
        <v>0</v>
      </c>
      <c r="T414" s="276">
        <f t="shared" si="172"/>
        <v>0</v>
      </c>
      <c r="U414" s="276">
        <f t="shared" si="172"/>
        <v>0</v>
      </c>
      <c r="V414" s="276">
        <f t="shared" si="172"/>
        <v>0</v>
      </c>
      <c r="W414" s="276">
        <f t="shared" si="172"/>
        <v>0</v>
      </c>
      <c r="X414" s="276">
        <f t="shared" si="172"/>
        <v>0</v>
      </c>
      <c r="Y414" s="276">
        <f t="shared" si="172"/>
        <v>0</v>
      </c>
      <c r="Z414" s="276">
        <f t="shared" si="172"/>
        <v>0</v>
      </c>
      <c r="AA414" s="276">
        <f t="shared" si="172"/>
        <v>0</v>
      </c>
      <c r="AB414" s="276">
        <f t="shared" si="172"/>
        <v>0</v>
      </c>
      <c r="AC414" s="276">
        <f t="shared" si="172"/>
        <v>0</v>
      </c>
      <c r="AD414" s="276">
        <f t="shared" si="172"/>
        <v>0</v>
      </c>
      <c r="AE414" s="276">
        <f t="shared" si="172"/>
        <v>0</v>
      </c>
      <c r="AF414" s="276">
        <f t="shared" si="172"/>
        <v>0</v>
      </c>
      <c r="AG414" s="276">
        <f t="shared" si="172"/>
        <v>0.91062483734601884</v>
      </c>
      <c r="AH414" s="276">
        <f t="shared" si="172"/>
        <v>0</v>
      </c>
      <c r="AI414" s="276">
        <f t="shared" si="172"/>
        <v>0</v>
      </c>
      <c r="AJ414" s="276">
        <f t="shared" si="172"/>
        <v>0</v>
      </c>
      <c r="AK414" s="276">
        <f t="shared" si="172"/>
        <v>0</v>
      </c>
      <c r="AL414" s="276">
        <f t="shared" si="172"/>
        <v>0</v>
      </c>
      <c r="AM414" s="276">
        <f t="shared" si="172"/>
        <v>0</v>
      </c>
      <c r="AN414" s="276">
        <f t="shared" si="172"/>
        <v>0</v>
      </c>
      <c r="AO414" s="276">
        <f t="shared" si="172"/>
        <v>0</v>
      </c>
    </row>
    <row r="415" spans="2:43" x14ac:dyDescent="0.35">
      <c r="C415" s="29"/>
      <c r="F415" t="s">
        <v>159</v>
      </c>
      <c r="G415" t="s">
        <v>270</v>
      </c>
      <c r="J415" s="199">
        <f t="shared" ref="J415:AO415" si="173">J224</f>
        <v>10.344210427331232</v>
      </c>
      <c r="K415" s="199">
        <f t="shared" si="173"/>
        <v>0</v>
      </c>
      <c r="L415" s="199">
        <f t="shared" si="173"/>
        <v>0</v>
      </c>
      <c r="M415" s="199">
        <f t="shared" si="173"/>
        <v>3.0083304333214778</v>
      </c>
      <c r="N415" s="199">
        <f t="shared" si="173"/>
        <v>17.801731326022786</v>
      </c>
      <c r="O415" s="199">
        <f t="shared" si="173"/>
        <v>43.928327480952348</v>
      </c>
      <c r="P415" s="199">
        <f t="shared" si="173"/>
        <v>143.73395655589948</v>
      </c>
      <c r="Q415" s="199">
        <f t="shared" si="173"/>
        <v>0</v>
      </c>
      <c r="R415" s="199">
        <f t="shared" si="173"/>
        <v>0</v>
      </c>
      <c r="S415" s="199">
        <f t="shared" si="173"/>
        <v>226.16014780458576</v>
      </c>
      <c r="T415" s="199">
        <f t="shared" si="173"/>
        <v>425.85759738303898</v>
      </c>
      <c r="U415" s="199">
        <f t="shared" si="173"/>
        <v>709.75769944682338</v>
      </c>
      <c r="V415" s="199">
        <f t="shared" si="173"/>
        <v>1659.4880185156978</v>
      </c>
      <c r="W415" s="199">
        <f t="shared" si="173"/>
        <v>0</v>
      </c>
      <c r="X415" s="199">
        <f t="shared" si="173"/>
        <v>226.16014780458585</v>
      </c>
      <c r="Y415" s="199">
        <f t="shared" si="173"/>
        <v>425.85759738303909</v>
      </c>
      <c r="Z415" s="199">
        <f t="shared" si="173"/>
        <v>709.75769944682338</v>
      </c>
      <c r="AA415" s="199">
        <f t="shared" si="173"/>
        <v>1659.4880185156978</v>
      </c>
      <c r="AB415" s="199">
        <f t="shared" si="173"/>
        <v>0</v>
      </c>
      <c r="AC415" s="199">
        <f t="shared" si="173"/>
        <v>419.51129595671119</v>
      </c>
      <c r="AD415" s="199">
        <f t="shared" si="173"/>
        <v>3264.5631753355374</v>
      </c>
      <c r="AE415" s="199">
        <f t="shared" si="173"/>
        <v>7021.8064202334481</v>
      </c>
      <c r="AF415" s="199">
        <f t="shared" si="173"/>
        <v>15420.565139157603</v>
      </c>
      <c r="AG415" s="199">
        <f t="shared" si="173"/>
        <v>0</v>
      </c>
      <c r="AH415" s="199">
        <f t="shared" si="173"/>
        <v>0</v>
      </c>
      <c r="AI415" s="199">
        <f t="shared" si="173"/>
        <v>0</v>
      </c>
      <c r="AJ415" s="199">
        <f t="shared" si="173"/>
        <v>0</v>
      </c>
      <c r="AK415" s="199">
        <f t="shared" si="173"/>
        <v>0</v>
      </c>
      <c r="AL415" s="199">
        <f t="shared" si="173"/>
        <v>0</v>
      </c>
      <c r="AM415" s="199">
        <f t="shared" si="173"/>
        <v>0</v>
      </c>
      <c r="AN415" s="199">
        <f t="shared" si="173"/>
        <v>0</v>
      </c>
      <c r="AO415" s="199">
        <f t="shared" si="173"/>
        <v>0</v>
      </c>
    </row>
    <row r="416" spans="2:43" x14ac:dyDescent="0.35">
      <c r="C416" s="29"/>
      <c r="E416" s="28"/>
      <c r="F416" t="s">
        <v>160</v>
      </c>
      <c r="G416" t="s">
        <v>271</v>
      </c>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2:43" x14ac:dyDescent="0.35">
      <c r="C417" s="29"/>
      <c r="F417" t="s">
        <v>161</v>
      </c>
      <c r="G417" t="s">
        <v>271</v>
      </c>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2:43" x14ac:dyDescent="0.35">
      <c r="C418" s="29"/>
      <c r="E418" s="28"/>
      <c r="F418" s="37" t="s">
        <v>162</v>
      </c>
      <c r="G418" s="37" t="s">
        <v>272</v>
      </c>
      <c r="H418" s="37"/>
      <c r="I418" s="37"/>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3" x14ac:dyDescent="0.35">
      <c r="C419" s="29"/>
    </row>
    <row r="420" spans="2:43" x14ac:dyDescent="0.35">
      <c r="B420" s="30" t="s">
        <v>231</v>
      </c>
      <c r="C420" s="30"/>
      <c r="D420" s="30"/>
      <c r="E420" s="30"/>
      <c r="F420" s="30"/>
      <c r="G420" s="30"/>
      <c r="H420" s="30"/>
      <c r="I420" s="3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105"/>
      <c r="AQ420" s="105"/>
    </row>
    <row r="421" spans="2:43" x14ac:dyDescent="0.35">
      <c r="C421" s="29"/>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spans="2:43" x14ac:dyDescent="0.35">
      <c r="C422" s="29"/>
      <c r="E422" s="28" t="s">
        <v>1110</v>
      </c>
      <c r="F422" s="28"/>
      <c r="G422" t="s">
        <v>936</v>
      </c>
      <c r="H422" s="89">
        <f>SUM(J422:AO422)</f>
        <v>0</v>
      </c>
      <c r="J422" s="163">
        <f t="shared" ref="J422:AO422" si="174">SUMPRODUCT(J398:J400,J282:J284)*thousand/hundred</f>
        <v>0</v>
      </c>
      <c r="K422" s="163">
        <f t="shared" si="174"/>
        <v>0</v>
      </c>
      <c r="L422" s="163">
        <f t="shared" si="174"/>
        <v>0</v>
      </c>
      <c r="M422" s="163">
        <f t="shared" si="174"/>
        <v>0</v>
      </c>
      <c r="N422" s="163">
        <f t="shared" si="174"/>
        <v>0</v>
      </c>
      <c r="O422" s="163">
        <f t="shared" si="174"/>
        <v>0</v>
      </c>
      <c r="P422" s="163">
        <f t="shared" si="174"/>
        <v>0</v>
      </c>
      <c r="Q422" s="163">
        <f t="shared" si="174"/>
        <v>0</v>
      </c>
      <c r="R422" s="163">
        <f t="shared" si="174"/>
        <v>0</v>
      </c>
      <c r="S422" s="163">
        <f t="shared" si="174"/>
        <v>0</v>
      </c>
      <c r="T422" s="163">
        <f t="shared" si="174"/>
        <v>0</v>
      </c>
      <c r="U422" s="163">
        <f t="shared" si="174"/>
        <v>0</v>
      </c>
      <c r="V422" s="163">
        <f t="shared" si="174"/>
        <v>0</v>
      </c>
      <c r="W422" s="163">
        <f t="shared" si="174"/>
        <v>0</v>
      </c>
      <c r="X422" s="163">
        <f t="shared" si="174"/>
        <v>0</v>
      </c>
      <c r="Y422" s="163">
        <f t="shared" si="174"/>
        <v>0</v>
      </c>
      <c r="Z422" s="163">
        <f t="shared" si="174"/>
        <v>0</v>
      </c>
      <c r="AA422" s="163">
        <f t="shared" si="174"/>
        <v>0</v>
      </c>
      <c r="AB422" s="163">
        <f t="shared" si="174"/>
        <v>0</v>
      </c>
      <c r="AC422" s="163">
        <f t="shared" si="174"/>
        <v>0</v>
      </c>
      <c r="AD422" s="163">
        <f t="shared" si="174"/>
        <v>0</v>
      </c>
      <c r="AE422" s="163">
        <f t="shared" si="174"/>
        <v>0</v>
      </c>
      <c r="AF422" s="163">
        <f t="shared" si="174"/>
        <v>0</v>
      </c>
      <c r="AG422" s="163">
        <f t="shared" si="174"/>
        <v>0</v>
      </c>
      <c r="AH422" s="163">
        <f t="shared" si="174"/>
        <v>0</v>
      </c>
      <c r="AI422" s="163">
        <f t="shared" si="174"/>
        <v>0</v>
      </c>
      <c r="AJ422" s="163">
        <f t="shared" si="174"/>
        <v>0</v>
      </c>
      <c r="AK422" s="163">
        <f t="shared" si="174"/>
        <v>0</v>
      </c>
      <c r="AL422" s="163">
        <f t="shared" si="174"/>
        <v>0</v>
      </c>
      <c r="AM422" s="163">
        <f t="shared" si="174"/>
        <v>0</v>
      </c>
      <c r="AN422" s="163">
        <f t="shared" si="174"/>
        <v>0</v>
      </c>
      <c r="AO422" s="163">
        <f t="shared" si="174"/>
        <v>0</v>
      </c>
    </row>
    <row r="423" spans="2:43" x14ac:dyDescent="0.35">
      <c r="C423" s="29"/>
      <c r="E423" s="28"/>
      <c r="F423" s="28"/>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spans="2:43" x14ac:dyDescent="0.35">
      <c r="C424" s="29"/>
      <c r="E424" s="28" t="s">
        <v>1111</v>
      </c>
      <c r="F424" s="28"/>
      <c r="G424" t="s">
        <v>936</v>
      </c>
      <c r="H424" s="89">
        <f>SUM(J424:AO424)</f>
        <v>0</v>
      </c>
      <c r="J424" s="163">
        <f t="shared" ref="J424:AO424" si="175">J228</f>
        <v>0</v>
      </c>
      <c r="K424" s="163">
        <f t="shared" si="175"/>
        <v>0</v>
      </c>
      <c r="L424" s="163">
        <f t="shared" si="175"/>
        <v>0</v>
      </c>
      <c r="M424" s="163">
        <f t="shared" si="175"/>
        <v>0</v>
      </c>
      <c r="N424" s="163">
        <f t="shared" si="175"/>
        <v>0</v>
      </c>
      <c r="O424" s="163">
        <f t="shared" si="175"/>
        <v>0</v>
      </c>
      <c r="P424" s="163">
        <f t="shared" si="175"/>
        <v>0</v>
      </c>
      <c r="Q424" s="163">
        <f t="shared" si="175"/>
        <v>0</v>
      </c>
      <c r="R424" s="163">
        <f t="shared" si="175"/>
        <v>0</v>
      </c>
      <c r="S424" s="163">
        <f t="shared" si="175"/>
        <v>0</v>
      </c>
      <c r="T424" s="163">
        <f t="shared" si="175"/>
        <v>0</v>
      </c>
      <c r="U424" s="163">
        <f t="shared" si="175"/>
        <v>0</v>
      </c>
      <c r="V424" s="163">
        <f t="shared" si="175"/>
        <v>0</v>
      </c>
      <c r="W424" s="163">
        <f t="shared" si="175"/>
        <v>0</v>
      </c>
      <c r="X424" s="163">
        <f t="shared" si="175"/>
        <v>0</v>
      </c>
      <c r="Y424" s="163">
        <f t="shared" si="175"/>
        <v>0</v>
      </c>
      <c r="Z424" s="163">
        <f t="shared" si="175"/>
        <v>0</v>
      </c>
      <c r="AA424" s="163">
        <f t="shared" si="175"/>
        <v>0</v>
      </c>
      <c r="AB424" s="163">
        <f t="shared" si="175"/>
        <v>0</v>
      </c>
      <c r="AC424" s="163">
        <f t="shared" si="175"/>
        <v>0</v>
      </c>
      <c r="AD424" s="163">
        <f t="shared" si="175"/>
        <v>0</v>
      </c>
      <c r="AE424" s="163">
        <f t="shared" si="175"/>
        <v>0</v>
      </c>
      <c r="AF424" s="163">
        <f t="shared" si="175"/>
        <v>0</v>
      </c>
      <c r="AG424" s="163">
        <f t="shared" si="175"/>
        <v>0</v>
      </c>
      <c r="AH424" s="163">
        <f t="shared" si="175"/>
        <v>0</v>
      </c>
      <c r="AI424" s="163">
        <f t="shared" si="175"/>
        <v>0</v>
      </c>
      <c r="AJ424" s="163">
        <f t="shared" si="175"/>
        <v>0</v>
      </c>
      <c r="AK424" s="163">
        <f t="shared" si="175"/>
        <v>0</v>
      </c>
      <c r="AL424" s="163">
        <f t="shared" si="175"/>
        <v>0</v>
      </c>
      <c r="AM424" s="163">
        <f t="shared" si="175"/>
        <v>0</v>
      </c>
      <c r="AN424" s="163">
        <f t="shared" si="175"/>
        <v>0</v>
      </c>
      <c r="AO424" s="163">
        <f t="shared" si="175"/>
        <v>0</v>
      </c>
    </row>
    <row r="425" spans="2:43" x14ac:dyDescent="0.35">
      <c r="C425" s="29"/>
      <c r="E425" s="28"/>
      <c r="F425" s="28"/>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spans="2:43" x14ac:dyDescent="0.35">
      <c r="C426" s="29"/>
      <c r="E426" s="28" t="s">
        <v>1112</v>
      </c>
      <c r="F426" s="28"/>
      <c r="G426" t="s">
        <v>912</v>
      </c>
      <c r="H426" s="187">
        <f>COUNTIF(J426:AO426, FALSE)</f>
        <v>0</v>
      </c>
      <c r="J426" s="14" t="b">
        <f t="shared" ref="J426:AO426" si="176">ROUND(J422, check_decimals)=ROUND(J424, check_decimals)</f>
        <v>1</v>
      </c>
      <c r="K426" s="14" t="b">
        <f t="shared" si="176"/>
        <v>1</v>
      </c>
      <c r="L426" s="14" t="b">
        <f t="shared" si="176"/>
        <v>1</v>
      </c>
      <c r="M426" s="14" t="b">
        <f t="shared" si="176"/>
        <v>1</v>
      </c>
      <c r="N426" s="14" t="b">
        <f t="shared" si="176"/>
        <v>1</v>
      </c>
      <c r="O426" s="14" t="b">
        <f t="shared" si="176"/>
        <v>1</v>
      </c>
      <c r="P426" s="14" t="b">
        <f t="shared" si="176"/>
        <v>1</v>
      </c>
      <c r="Q426" s="14" t="b">
        <f t="shared" si="176"/>
        <v>1</v>
      </c>
      <c r="R426" s="14" t="b">
        <f t="shared" si="176"/>
        <v>1</v>
      </c>
      <c r="S426" s="14" t="b">
        <f t="shared" si="176"/>
        <v>1</v>
      </c>
      <c r="T426" s="14" t="b">
        <f t="shared" si="176"/>
        <v>1</v>
      </c>
      <c r="U426" s="14" t="b">
        <f t="shared" si="176"/>
        <v>1</v>
      </c>
      <c r="V426" s="14" t="b">
        <f t="shared" si="176"/>
        <v>1</v>
      </c>
      <c r="W426" s="14" t="b">
        <f t="shared" si="176"/>
        <v>1</v>
      </c>
      <c r="X426" s="14" t="b">
        <f t="shared" si="176"/>
        <v>1</v>
      </c>
      <c r="Y426" s="14" t="b">
        <f t="shared" si="176"/>
        <v>1</v>
      </c>
      <c r="Z426" s="14" t="b">
        <f t="shared" si="176"/>
        <v>1</v>
      </c>
      <c r="AA426" s="14" t="b">
        <f t="shared" si="176"/>
        <v>1</v>
      </c>
      <c r="AB426" s="14" t="b">
        <f t="shared" si="176"/>
        <v>1</v>
      </c>
      <c r="AC426" s="14" t="b">
        <f t="shared" si="176"/>
        <v>1</v>
      </c>
      <c r="AD426" s="14" t="b">
        <f t="shared" si="176"/>
        <v>1</v>
      </c>
      <c r="AE426" s="14" t="b">
        <f t="shared" si="176"/>
        <v>1</v>
      </c>
      <c r="AF426" s="14" t="b">
        <f t="shared" si="176"/>
        <v>1</v>
      </c>
      <c r="AG426" s="14" t="b">
        <f t="shared" si="176"/>
        <v>1</v>
      </c>
      <c r="AH426" s="14" t="b">
        <f t="shared" si="176"/>
        <v>1</v>
      </c>
      <c r="AI426" s="14" t="b">
        <f t="shared" si="176"/>
        <v>1</v>
      </c>
      <c r="AJ426" s="14" t="b">
        <f t="shared" si="176"/>
        <v>1</v>
      </c>
      <c r="AK426" s="14" t="b">
        <f t="shared" si="176"/>
        <v>1</v>
      </c>
      <c r="AL426" s="14" t="b">
        <f t="shared" si="176"/>
        <v>1</v>
      </c>
      <c r="AM426" s="14" t="b">
        <f t="shared" si="176"/>
        <v>1</v>
      </c>
      <c r="AN426" s="14" t="b">
        <f t="shared" si="176"/>
        <v>1</v>
      </c>
      <c r="AO426" s="14" t="b">
        <f t="shared" si="176"/>
        <v>1</v>
      </c>
    </row>
    <row r="427" spans="2:43" x14ac:dyDescent="0.35">
      <c r="C427" s="29"/>
      <c r="E427" s="28"/>
      <c r="F427" s="28"/>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spans="2:43" x14ac:dyDescent="0.35">
      <c r="C428" s="29"/>
      <c r="E428" s="28" t="s">
        <v>1113</v>
      </c>
      <c r="G428" s="6" t="s">
        <v>55</v>
      </c>
      <c r="H428" s="187">
        <f>COUNTIF(J375:AO375,FALSE)</f>
        <v>0</v>
      </c>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spans="2:43" x14ac:dyDescent="0.35">
      <c r="C429" s="29"/>
      <c r="E429" s="28"/>
      <c r="G429" s="6"/>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spans="2:43" x14ac:dyDescent="0.35">
      <c r="C430" s="29"/>
      <c r="E430" t="s">
        <v>232</v>
      </c>
      <c r="G430" s="6" t="s">
        <v>55</v>
      </c>
      <c r="H430" s="187">
        <f t="array" ref="H430">SUM(IF(ISERROR(H35:AO419), 1))</f>
        <v>0</v>
      </c>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spans="2:43" x14ac:dyDescent="0.35">
      <c r="C431" s="29"/>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spans="2:43" x14ac:dyDescent="0.35">
      <c r="C432" s="29"/>
      <c r="E432" s="28" t="s">
        <v>942</v>
      </c>
      <c r="G432" s="6" t="s">
        <v>55</v>
      </c>
      <c r="H432" s="103">
        <f>H426+H428+H430</f>
        <v>0</v>
      </c>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spans="2:43" x14ac:dyDescent="0.35">
      <c r="C433" s="29"/>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spans="2:43" x14ac:dyDescent="0.35">
      <c r="B434" s="30" t="s">
        <v>106</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105"/>
      <c r="AQ434" s="10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6">
    <cfRule type="cellIs" dxfId="27" priority="4" operator="greaterThan">
      <formula>0</formula>
    </cfRule>
  </conditionalFormatting>
  <conditionalFormatting sqref="H428">
    <cfRule type="cellIs" dxfId="26" priority="3" operator="greaterThan">
      <formula>0</formula>
    </cfRule>
  </conditionalFormatting>
  <conditionalFormatting sqref="H430">
    <cfRule type="cellIs" dxfId="25" priority="2" operator="greaterThan">
      <formula>0</formula>
    </cfRule>
  </conditionalFormatting>
  <conditionalFormatting sqref="H432">
    <cfRule type="cellIs" dxfId="24"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45" width="24.54296875" hidden="1" customWidth="1"/>
    <col min="46" max="46" width="3.54296875" hidden="1" customWidth="1"/>
    <col min="47" max="47" width="15.453125" hidden="1" customWidth="1"/>
    <col min="48" max="336" width="24.54296875" hidden="1" customWidth="1"/>
    <col min="337" max="16384" width="8.54296875" hidden="1"/>
  </cols>
  <sheetData>
    <row r="1" spans="1:43" s="1" customFormat="1" x14ac:dyDescent="0.35">
      <c r="A1" s="1" t="str">
        <f ca="1">MID(CELL("filename",A1),FIND("]",CELL("filename",A1))+1,255)</f>
        <v>Rounding</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H178 &amp; IF(H178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61" t="s">
        <v>143</v>
      </c>
      <c r="H5" s="62" t="s">
        <v>144</v>
      </c>
      <c r="J5" s="114" t="s">
        <v>913</v>
      </c>
      <c r="K5" s="114" t="s">
        <v>831</v>
      </c>
      <c r="L5" s="114" t="s">
        <v>914</v>
      </c>
      <c r="M5" s="114" t="s">
        <v>915</v>
      </c>
      <c r="N5" s="114" t="s">
        <v>916</v>
      </c>
      <c r="O5" s="114" t="s">
        <v>917</v>
      </c>
      <c r="P5" s="114" t="s">
        <v>918</v>
      </c>
      <c r="Q5" s="114" t="s">
        <v>832</v>
      </c>
      <c r="R5" s="114" t="s">
        <v>919</v>
      </c>
      <c r="S5" s="114" t="s">
        <v>920</v>
      </c>
      <c r="T5" s="114" t="s">
        <v>921</v>
      </c>
      <c r="U5" s="114" t="s">
        <v>922</v>
      </c>
      <c r="V5" s="114" t="s">
        <v>923</v>
      </c>
      <c r="W5" s="114" t="s">
        <v>924</v>
      </c>
      <c r="X5" s="114" t="s">
        <v>925</v>
      </c>
      <c r="Y5" s="114" t="s">
        <v>926</v>
      </c>
      <c r="Z5" s="114" t="s">
        <v>927</v>
      </c>
      <c r="AA5" s="114" t="s">
        <v>928</v>
      </c>
      <c r="AB5" s="114" t="s">
        <v>929</v>
      </c>
      <c r="AC5" s="114" t="s">
        <v>930</v>
      </c>
      <c r="AD5" s="114" t="s">
        <v>931</v>
      </c>
      <c r="AE5" s="114" t="s">
        <v>932</v>
      </c>
      <c r="AF5" s="114" t="s">
        <v>933</v>
      </c>
      <c r="AG5" s="114" t="s">
        <v>841</v>
      </c>
      <c r="AH5" s="114" t="s">
        <v>833</v>
      </c>
      <c r="AI5" s="114" t="s">
        <v>834</v>
      </c>
      <c r="AJ5" s="114" t="s">
        <v>835</v>
      </c>
      <c r="AK5" s="114" t="s">
        <v>844</v>
      </c>
      <c r="AL5" s="114" t="s">
        <v>836</v>
      </c>
      <c r="AM5" s="114" t="s">
        <v>843</v>
      </c>
      <c r="AN5" s="114" t="s">
        <v>837</v>
      </c>
      <c r="AO5" s="114" t="s">
        <v>842</v>
      </c>
      <c r="AQ5" s="61" t="s">
        <v>145</v>
      </c>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5">
      <c r="C9" s="29" t="s">
        <v>742</v>
      </c>
      <c r="E9"/>
    </row>
    <row r="10" spans="1:43" x14ac:dyDescent="0.35">
      <c r="C10" s="29" t="s">
        <v>743</v>
      </c>
      <c r="E10"/>
    </row>
    <row r="12" spans="1:43" x14ac:dyDescent="0.35">
      <c r="B12" s="30" t="s">
        <v>744</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4" spans="1:43" x14ac:dyDescent="0.35">
      <c r="C14" s="29" t="s">
        <v>745</v>
      </c>
    </row>
    <row r="16" spans="1:43" x14ac:dyDescent="0.3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8" spans="3:43" x14ac:dyDescent="0.35">
      <c r="E18" s="32" t="s">
        <v>746</v>
      </c>
      <c r="F18" s="32"/>
    </row>
    <row r="19" spans="3:43" x14ac:dyDescent="0.35">
      <c r="E19" s="29" t="s">
        <v>747</v>
      </c>
      <c r="F19" s="2"/>
    </row>
    <row r="20" spans="3:43" x14ac:dyDescent="0.35">
      <c r="C20" s="88"/>
      <c r="F20" s="23" t="s">
        <v>156</v>
      </c>
      <c r="G20" s="23" t="s">
        <v>269</v>
      </c>
      <c r="H20" s="278"/>
      <c r="I20" s="266"/>
      <c r="J20" s="278">
        <f>'Revenue matching'!J40</f>
        <v>8.7578868905519336</v>
      </c>
      <c r="K20" s="278">
        <f>'Revenue matching'!K40</f>
        <v>8.7578868905519336</v>
      </c>
      <c r="L20" s="278">
        <f>'Revenue matching'!L40</f>
        <v>10.049981004930144</v>
      </c>
      <c r="M20" s="278">
        <f>'Revenue matching'!M40</f>
        <v>10.049981004930144</v>
      </c>
      <c r="N20" s="278">
        <f>'Revenue matching'!N40</f>
        <v>10.049981004930144</v>
      </c>
      <c r="O20" s="278">
        <f>'Revenue matching'!O40</f>
        <v>10.049981004930144</v>
      </c>
      <c r="P20" s="278">
        <f>'Revenue matching'!P40</f>
        <v>10.049981004930144</v>
      </c>
      <c r="Q20" s="278">
        <f>'Revenue matching'!Q40</f>
        <v>10.049981004930144</v>
      </c>
      <c r="R20" s="278">
        <f>'Revenue matching'!R40</f>
        <v>7.2439851323805975</v>
      </c>
      <c r="S20" s="278">
        <f>'Revenue matching'!S40</f>
        <v>7.2439851323805975</v>
      </c>
      <c r="T20" s="278">
        <f>'Revenue matching'!T40</f>
        <v>7.2439851323805975</v>
      </c>
      <c r="U20" s="278">
        <f>'Revenue matching'!U40</f>
        <v>7.2439851323805975</v>
      </c>
      <c r="V20" s="278">
        <f>'Revenue matching'!V40</f>
        <v>7.2439851323805975</v>
      </c>
      <c r="W20" s="278">
        <f>'Revenue matching'!W40</f>
        <v>3.7452920159350667</v>
      </c>
      <c r="X20" s="278">
        <f>'Revenue matching'!X40</f>
        <v>3.7452920159350667</v>
      </c>
      <c r="Y20" s="278">
        <f>'Revenue matching'!Y40</f>
        <v>3.7452920159350667</v>
      </c>
      <c r="Z20" s="278">
        <f>'Revenue matching'!Z40</f>
        <v>3.7452920159350667</v>
      </c>
      <c r="AA20" s="278">
        <f>'Revenue matching'!AA40</f>
        <v>3.7452920159350667</v>
      </c>
      <c r="AB20" s="278">
        <f>'Revenue matching'!AB40</f>
        <v>2.6202382291421182</v>
      </c>
      <c r="AC20" s="278">
        <f>'Revenue matching'!AC40</f>
        <v>2.6202382291421182</v>
      </c>
      <c r="AD20" s="278">
        <f>'Revenue matching'!AD40</f>
        <v>2.6202382291421182</v>
      </c>
      <c r="AE20" s="278">
        <f>'Revenue matching'!AE40</f>
        <v>2.6202382291421182</v>
      </c>
      <c r="AF20" s="278">
        <f>'Revenue matching'!AF40</f>
        <v>2.6202382291421182</v>
      </c>
      <c r="AG20" s="278">
        <f>'Revenue matching'!AG40</f>
        <v>16.503324119079796</v>
      </c>
      <c r="AH20" s="278">
        <f>'Revenue matching'!AH40</f>
        <v>-6.7703858572355928</v>
      </c>
      <c r="AI20" s="278">
        <f>'Revenue matching'!AI40</f>
        <v>-6.0634483873977167</v>
      </c>
      <c r="AJ20" s="278">
        <f>'Revenue matching'!AJ40</f>
        <v>-6.7703858572355928</v>
      </c>
      <c r="AK20" s="278">
        <f>'Revenue matching'!AK40</f>
        <v>-6.7703858572355928</v>
      </c>
      <c r="AL20" s="278">
        <f>'Revenue matching'!AL40</f>
        <v>-6.0634483873977167</v>
      </c>
      <c r="AM20" s="278">
        <f>'Revenue matching'!AM40</f>
        <v>-6.0634483873977167</v>
      </c>
      <c r="AN20" s="278">
        <f>'Revenue matching'!AN40</f>
        <v>-3.3990502940098173</v>
      </c>
      <c r="AO20" s="278">
        <f>'Revenue matching'!AO40</f>
        <v>-3.3990502940098173</v>
      </c>
      <c r="AP20" s="267"/>
      <c r="AQ20" s="267"/>
    </row>
    <row r="21" spans="3:43" x14ac:dyDescent="0.35">
      <c r="C21" s="88"/>
      <c r="F21" t="s">
        <v>157</v>
      </c>
      <c r="G21" t="s">
        <v>269</v>
      </c>
      <c r="H21" s="279"/>
      <c r="I21" s="267"/>
      <c r="J21" s="279">
        <f>'Revenue matching'!J41</f>
        <v>1.8206397762951982</v>
      </c>
      <c r="K21" s="279">
        <f>'Revenue matching'!K41</f>
        <v>1.8206397762951982</v>
      </c>
      <c r="L21" s="279">
        <f>'Revenue matching'!L41</f>
        <v>2.089247714346067</v>
      </c>
      <c r="M21" s="279">
        <f>'Revenue matching'!M41</f>
        <v>2.089247714346067</v>
      </c>
      <c r="N21" s="279">
        <f>'Revenue matching'!N41</f>
        <v>2.089247714346067</v>
      </c>
      <c r="O21" s="279">
        <f>'Revenue matching'!O41</f>
        <v>2.089247714346067</v>
      </c>
      <c r="P21" s="279">
        <f>'Revenue matching'!P41</f>
        <v>2.089247714346067</v>
      </c>
      <c r="Q21" s="279">
        <f>'Revenue matching'!Q41</f>
        <v>2.089247714346067</v>
      </c>
      <c r="R21" s="279">
        <f>'Revenue matching'!R41</f>
        <v>1.4663018872883582</v>
      </c>
      <c r="S21" s="279">
        <f>'Revenue matching'!S41</f>
        <v>1.4663018872883582</v>
      </c>
      <c r="T21" s="279">
        <f>'Revenue matching'!T41</f>
        <v>1.4663018872883582</v>
      </c>
      <c r="U21" s="279">
        <f>'Revenue matching'!U41</f>
        <v>1.4663018872883582</v>
      </c>
      <c r="V21" s="279">
        <f>'Revenue matching'!V41</f>
        <v>1.4663018872883582</v>
      </c>
      <c r="W21" s="279">
        <f>'Revenue matching'!W41</f>
        <v>0.67783233276690069</v>
      </c>
      <c r="X21" s="279">
        <f>'Revenue matching'!X41</f>
        <v>0.67783233276690069</v>
      </c>
      <c r="Y21" s="279">
        <f>'Revenue matching'!Y41</f>
        <v>0.67783233276690069</v>
      </c>
      <c r="Z21" s="279">
        <f>'Revenue matching'!Z41</f>
        <v>0.67783233276690069</v>
      </c>
      <c r="AA21" s="279">
        <f>'Revenue matching'!AA41</f>
        <v>0.67783233276690069</v>
      </c>
      <c r="AB21" s="279">
        <f>'Revenue matching'!AB41</f>
        <v>0.45455208805206132</v>
      </c>
      <c r="AC21" s="279">
        <f>'Revenue matching'!AC41</f>
        <v>0.45455208805206132</v>
      </c>
      <c r="AD21" s="279">
        <f>'Revenue matching'!AD41</f>
        <v>0.45455208805206132</v>
      </c>
      <c r="AE21" s="279">
        <f>'Revenue matching'!AE41</f>
        <v>0.45455208805206132</v>
      </c>
      <c r="AF21" s="279">
        <f>'Revenue matching'!AF41</f>
        <v>0.45455208805206132</v>
      </c>
      <c r="AG21" s="279">
        <f>'Revenue matching'!AG41</f>
        <v>3.9793044925326262</v>
      </c>
      <c r="AH21" s="279">
        <f>'Revenue matching'!AH41</f>
        <v>-1.4074666579500381</v>
      </c>
      <c r="AI21" s="279">
        <f>'Revenue matching'!AI41</f>
        <v>-1.2460008567520371</v>
      </c>
      <c r="AJ21" s="279">
        <f>'Revenue matching'!AJ41</f>
        <v>-1.4074666579500381</v>
      </c>
      <c r="AK21" s="279">
        <f>'Revenue matching'!AK41</f>
        <v>-1.4074666579500381</v>
      </c>
      <c r="AL21" s="279">
        <f>'Revenue matching'!AL41</f>
        <v>-1.2460008567520371</v>
      </c>
      <c r="AM21" s="279">
        <f>'Revenue matching'!AM41</f>
        <v>-1.2460008567520371</v>
      </c>
      <c r="AN21" s="279">
        <f>'Revenue matching'!AN41</f>
        <v>-0.61509915250322988</v>
      </c>
      <c r="AO21" s="279">
        <f>'Revenue matching'!AO41</f>
        <v>-0.61509915250322988</v>
      </c>
      <c r="AP21" s="267"/>
      <c r="AQ21" s="267"/>
    </row>
    <row r="22" spans="3:43" x14ac:dyDescent="0.35">
      <c r="C22" s="88"/>
      <c r="F22" t="s">
        <v>158</v>
      </c>
      <c r="G22" t="s">
        <v>269</v>
      </c>
      <c r="H22" s="279"/>
      <c r="I22" s="267"/>
      <c r="J22" s="279">
        <f>'Revenue matching'!J42</f>
        <v>0.63370675863757786</v>
      </c>
      <c r="K22" s="279">
        <f>'Revenue matching'!K42</f>
        <v>0.63370675863757786</v>
      </c>
      <c r="L22" s="279">
        <f>'Revenue matching'!L42</f>
        <v>0.72720063259485002</v>
      </c>
      <c r="M22" s="279">
        <f>'Revenue matching'!M42</f>
        <v>0.72720063259485002</v>
      </c>
      <c r="N22" s="279">
        <f>'Revenue matching'!N42</f>
        <v>0.72720063259485002</v>
      </c>
      <c r="O22" s="279">
        <f>'Revenue matching'!O42</f>
        <v>0.72720063259485002</v>
      </c>
      <c r="P22" s="279">
        <f>'Revenue matching'!P42</f>
        <v>0.72720063259485002</v>
      </c>
      <c r="Q22" s="279">
        <f>'Revenue matching'!Q42</f>
        <v>0.72720063259485002</v>
      </c>
      <c r="R22" s="279">
        <f>'Revenue matching'!R42</f>
        <v>0.51447803021364991</v>
      </c>
      <c r="S22" s="279">
        <f>'Revenue matching'!S42</f>
        <v>0.51447803021364991</v>
      </c>
      <c r="T22" s="279">
        <f>'Revenue matching'!T42</f>
        <v>0.51447803021364991</v>
      </c>
      <c r="U22" s="279">
        <f>'Revenue matching'!U42</f>
        <v>0.51447803021364991</v>
      </c>
      <c r="V22" s="279">
        <f>'Revenue matching'!V42</f>
        <v>0.51447803021364991</v>
      </c>
      <c r="W22" s="279">
        <f>'Revenue matching'!W42</f>
        <v>0.24637179623668531</v>
      </c>
      <c r="X22" s="279">
        <f>'Revenue matching'!X42</f>
        <v>0.24637179623668531</v>
      </c>
      <c r="Y22" s="279">
        <f>'Revenue matching'!Y42</f>
        <v>0.24637179623668531</v>
      </c>
      <c r="Z22" s="279">
        <f>'Revenue matching'!Z42</f>
        <v>0.24637179623668531</v>
      </c>
      <c r="AA22" s="279">
        <f>'Revenue matching'!AA42</f>
        <v>0.24637179623668531</v>
      </c>
      <c r="AB22" s="279">
        <f>'Revenue matching'!AB42</f>
        <v>0.1764399618541925</v>
      </c>
      <c r="AC22" s="279">
        <f>'Revenue matching'!AC42</f>
        <v>0.1764399618541925</v>
      </c>
      <c r="AD22" s="279">
        <f>'Revenue matching'!AD42</f>
        <v>0.1764399618541925</v>
      </c>
      <c r="AE22" s="279">
        <f>'Revenue matching'!AE42</f>
        <v>0.1764399618541925</v>
      </c>
      <c r="AF22" s="279">
        <f>'Revenue matching'!AF42</f>
        <v>0.1764399618541925</v>
      </c>
      <c r="AG22" s="279">
        <f>'Revenue matching'!AG42</f>
        <v>3.0121395815112382</v>
      </c>
      <c r="AH22" s="279">
        <f>'Revenue matching'!AH42</f>
        <v>-0.48989434665375964</v>
      </c>
      <c r="AI22" s="279">
        <f>'Revenue matching'!AI42</f>
        <v>-0.43519597745109795</v>
      </c>
      <c r="AJ22" s="279">
        <f>'Revenue matching'!AJ42</f>
        <v>-0.48989434665375964</v>
      </c>
      <c r="AK22" s="279">
        <f>'Revenue matching'!AK42</f>
        <v>-0.48989434665375964</v>
      </c>
      <c r="AL22" s="279">
        <f>'Revenue matching'!AL42</f>
        <v>-0.43519597745109795</v>
      </c>
      <c r="AM22" s="279">
        <f>'Revenue matching'!AM42</f>
        <v>-0.43519597745109795</v>
      </c>
      <c r="AN22" s="279">
        <f>'Revenue matching'!AN42</f>
        <v>-0.22360981889651921</v>
      </c>
      <c r="AO22" s="279">
        <f>'Revenue matching'!AO42</f>
        <v>-0.22360981889651921</v>
      </c>
      <c r="AP22" s="267"/>
      <c r="AQ22" s="267"/>
    </row>
    <row r="23" spans="3:43" x14ac:dyDescent="0.35">
      <c r="C23" s="88"/>
      <c r="F23" t="s">
        <v>159</v>
      </c>
      <c r="G23" t="s">
        <v>270</v>
      </c>
      <c r="H23" s="51"/>
      <c r="J23" s="120">
        <f>'Revenue matching'!J43</f>
        <v>7.2414353933991542</v>
      </c>
      <c r="K23" s="120">
        <f>'Revenue matching'!K43</f>
        <v>0</v>
      </c>
      <c r="L23" s="120">
        <f>'Revenue matching'!L43</f>
        <v>10.32111579724789</v>
      </c>
      <c r="M23" s="120">
        <f>'Revenue matching'!M43</f>
        <v>10.32111579724789</v>
      </c>
      <c r="N23" s="120">
        <f>'Revenue matching'!N43</f>
        <v>10.32111579724789</v>
      </c>
      <c r="O23" s="120">
        <f>'Revenue matching'!O43</f>
        <v>10.32111579724789</v>
      </c>
      <c r="P23" s="120">
        <f>'Revenue matching'!P43</f>
        <v>10.32111579724789</v>
      </c>
      <c r="Q23" s="120">
        <f>'Revenue matching'!Q43</f>
        <v>0</v>
      </c>
      <c r="R23" s="120">
        <f>'Revenue matching'!R43</f>
        <v>27.1234520849282</v>
      </c>
      <c r="S23" s="120">
        <f>'Revenue matching'!S43</f>
        <v>27.1234520849282</v>
      </c>
      <c r="T23" s="120">
        <f>'Revenue matching'!T43</f>
        <v>27.1234520849282</v>
      </c>
      <c r="U23" s="120">
        <f>'Revenue matching'!U43</f>
        <v>27.1234520849282</v>
      </c>
      <c r="V23" s="120">
        <f>'Revenue matching'!V43</f>
        <v>27.1234520849282</v>
      </c>
      <c r="W23" s="120">
        <f>'Revenue matching'!W43</f>
        <v>63.777155343839667</v>
      </c>
      <c r="X23" s="120">
        <f>'Revenue matching'!X43</f>
        <v>63.777155343839667</v>
      </c>
      <c r="Y23" s="120">
        <f>'Revenue matching'!Y43</f>
        <v>63.777155343839667</v>
      </c>
      <c r="Z23" s="120">
        <f>'Revenue matching'!Z43</f>
        <v>63.777155343839667</v>
      </c>
      <c r="AA23" s="120">
        <f>'Revenue matching'!AA43</f>
        <v>63.777155343839667</v>
      </c>
      <c r="AB23" s="120">
        <f>'Revenue matching'!AB43</f>
        <v>322.05936254955475</v>
      </c>
      <c r="AC23" s="120">
        <f>'Revenue matching'!AC43</f>
        <v>322.05936254955475</v>
      </c>
      <c r="AD23" s="120">
        <f>'Revenue matching'!AD43</f>
        <v>322.05936254955475</v>
      </c>
      <c r="AE23" s="120">
        <f>'Revenue matching'!AE43</f>
        <v>322.05936254955475</v>
      </c>
      <c r="AF23" s="120">
        <f>'Revenue matching'!AF43</f>
        <v>322.05936254955475</v>
      </c>
      <c r="AG23" s="120">
        <f>'Revenue matching'!AG43</f>
        <v>0</v>
      </c>
      <c r="AH23" s="120">
        <f>'Revenue matching'!AH43</f>
        <v>0</v>
      </c>
      <c r="AI23" s="120">
        <f>'Revenue matching'!AI43</f>
        <v>0</v>
      </c>
      <c r="AJ23" s="120">
        <f>'Revenue matching'!AJ43</f>
        <v>0</v>
      </c>
      <c r="AK23" s="120">
        <f>'Revenue matching'!AK43</f>
        <v>0</v>
      </c>
      <c r="AL23" s="120">
        <f>'Revenue matching'!AL43</f>
        <v>0</v>
      </c>
      <c r="AM23" s="120">
        <f>'Revenue matching'!AM43</f>
        <v>0</v>
      </c>
      <c r="AN23" s="120">
        <f>'Revenue matching'!AN43</f>
        <v>526.69511172822524</v>
      </c>
      <c r="AO23" s="120">
        <f>'Revenue matching'!AO43</f>
        <v>526.69511172822524</v>
      </c>
    </row>
    <row r="24" spans="3:43" x14ac:dyDescent="0.35">
      <c r="C24" s="88"/>
      <c r="F24" t="s">
        <v>160</v>
      </c>
      <c r="G24" t="s">
        <v>271</v>
      </c>
      <c r="H24" s="51"/>
      <c r="J24" s="120">
        <f>'Revenue matching'!J44</f>
        <v>0</v>
      </c>
      <c r="K24" s="120">
        <f>'Revenue matching'!K44</f>
        <v>0</v>
      </c>
      <c r="L24" s="120">
        <f>'Revenue matching'!L44</f>
        <v>0</v>
      </c>
      <c r="M24" s="120">
        <f>'Revenue matching'!M44</f>
        <v>0</v>
      </c>
      <c r="N24" s="120">
        <f>'Revenue matching'!N44</f>
        <v>0</v>
      </c>
      <c r="O24" s="120">
        <f>'Revenue matching'!O44</f>
        <v>0</v>
      </c>
      <c r="P24" s="120">
        <f>'Revenue matching'!P44</f>
        <v>0</v>
      </c>
      <c r="Q24" s="120">
        <f>'Revenue matching'!Q44</f>
        <v>0</v>
      </c>
      <c r="R24" s="120">
        <f>'Revenue matching'!R44</f>
        <v>5.4456927810994635</v>
      </c>
      <c r="S24" s="120">
        <f>'Revenue matching'!S44</f>
        <v>5.4456927810994635</v>
      </c>
      <c r="T24" s="120">
        <f>'Revenue matching'!T44</f>
        <v>5.4456927810994635</v>
      </c>
      <c r="U24" s="120">
        <f>'Revenue matching'!U44</f>
        <v>5.4456927810994635</v>
      </c>
      <c r="V24" s="120">
        <f>'Revenue matching'!V44</f>
        <v>5.4456927810994635</v>
      </c>
      <c r="W24" s="120">
        <f>'Revenue matching'!W44</f>
        <v>8.6286268818898275</v>
      </c>
      <c r="X24" s="120">
        <f>'Revenue matching'!X44</f>
        <v>8.6286268818898275</v>
      </c>
      <c r="Y24" s="120">
        <f>'Revenue matching'!Y44</f>
        <v>8.6286268818898275</v>
      </c>
      <c r="Z24" s="120">
        <f>'Revenue matching'!Z44</f>
        <v>8.6286268818898275</v>
      </c>
      <c r="AA24" s="120">
        <f>'Revenue matching'!AA44</f>
        <v>8.6286268818898275</v>
      </c>
      <c r="AB24" s="120">
        <f>'Revenue matching'!AB44</f>
        <v>11.66095176944162</v>
      </c>
      <c r="AC24" s="120">
        <f>'Revenue matching'!AC44</f>
        <v>11.66095176944162</v>
      </c>
      <c r="AD24" s="120">
        <f>'Revenue matching'!AD44</f>
        <v>11.66095176944162</v>
      </c>
      <c r="AE24" s="120">
        <f>'Revenue matching'!AE44</f>
        <v>11.66095176944162</v>
      </c>
      <c r="AF24" s="120">
        <f>'Revenue matching'!AF44</f>
        <v>11.66095176944162</v>
      </c>
      <c r="AG24" s="120">
        <f>'Revenue matching'!AG44</f>
        <v>0</v>
      </c>
      <c r="AH24" s="120">
        <f>'Revenue matching'!AH44</f>
        <v>0</v>
      </c>
      <c r="AI24" s="120">
        <f>'Revenue matching'!AI44</f>
        <v>0</v>
      </c>
      <c r="AJ24" s="120">
        <f>'Revenue matching'!AJ44</f>
        <v>0</v>
      </c>
      <c r="AK24" s="120">
        <f>'Revenue matching'!AK44</f>
        <v>0</v>
      </c>
      <c r="AL24" s="120">
        <f>'Revenue matching'!AL44</f>
        <v>0</v>
      </c>
      <c r="AM24" s="120">
        <f>'Revenue matching'!AM44</f>
        <v>0</v>
      </c>
      <c r="AN24" s="120">
        <f>'Revenue matching'!AN44</f>
        <v>0</v>
      </c>
      <c r="AO24" s="120">
        <f>'Revenue matching'!AO44</f>
        <v>0</v>
      </c>
    </row>
    <row r="25" spans="3:43" x14ac:dyDescent="0.35">
      <c r="C25" s="88"/>
      <c r="F25" t="s">
        <v>161</v>
      </c>
      <c r="G25" t="s">
        <v>271</v>
      </c>
      <c r="H25" s="51"/>
      <c r="J25" s="120">
        <f>'Revenue matching'!J45</f>
        <v>0</v>
      </c>
      <c r="K25" s="120">
        <f>'Revenue matching'!K45</f>
        <v>0</v>
      </c>
      <c r="L25" s="120">
        <f>'Revenue matching'!L45</f>
        <v>0</v>
      </c>
      <c r="M25" s="120">
        <f>'Revenue matching'!M45</f>
        <v>0</v>
      </c>
      <c r="N25" s="120">
        <f>'Revenue matching'!N45</f>
        <v>0</v>
      </c>
      <c r="O25" s="120">
        <f>'Revenue matching'!O45</f>
        <v>0</v>
      </c>
      <c r="P25" s="120">
        <f>'Revenue matching'!P45</f>
        <v>0</v>
      </c>
      <c r="Q25" s="120">
        <f>'Revenue matching'!Q45</f>
        <v>0</v>
      </c>
      <c r="R25" s="120">
        <f>'Revenue matching'!R45</f>
        <v>9.5225717204209275</v>
      </c>
      <c r="S25" s="120">
        <f>'Revenue matching'!S45</f>
        <v>9.5225717204209275</v>
      </c>
      <c r="T25" s="120">
        <f>'Revenue matching'!T45</f>
        <v>9.5225717204209275</v>
      </c>
      <c r="U25" s="120">
        <f>'Revenue matching'!U45</f>
        <v>9.5225717204209275</v>
      </c>
      <c r="V25" s="120">
        <f>'Revenue matching'!V45</f>
        <v>9.5225717204209275</v>
      </c>
      <c r="W25" s="120">
        <f>'Revenue matching'!W45</f>
        <v>11.683618977303782</v>
      </c>
      <c r="X25" s="120">
        <f>'Revenue matching'!X45</f>
        <v>11.683618977303782</v>
      </c>
      <c r="Y25" s="120">
        <f>'Revenue matching'!Y45</f>
        <v>11.683618977303782</v>
      </c>
      <c r="Z25" s="120">
        <f>'Revenue matching'!Z45</f>
        <v>11.683618977303782</v>
      </c>
      <c r="AA25" s="120">
        <f>'Revenue matching'!AA45</f>
        <v>11.683618977303782</v>
      </c>
      <c r="AB25" s="120">
        <f>'Revenue matching'!AB45</f>
        <v>13.569478191552264</v>
      </c>
      <c r="AC25" s="120">
        <f>'Revenue matching'!AC45</f>
        <v>13.569478191552264</v>
      </c>
      <c r="AD25" s="120">
        <f>'Revenue matching'!AD45</f>
        <v>13.569478191552264</v>
      </c>
      <c r="AE25" s="120">
        <f>'Revenue matching'!AE45</f>
        <v>13.569478191552264</v>
      </c>
      <c r="AF25" s="120">
        <f>'Revenue matching'!AF45</f>
        <v>13.569478191552264</v>
      </c>
      <c r="AG25" s="120">
        <f>'Revenue matching'!AG45</f>
        <v>0</v>
      </c>
      <c r="AH25" s="120">
        <f>'Revenue matching'!AH45</f>
        <v>0</v>
      </c>
      <c r="AI25" s="120">
        <f>'Revenue matching'!AI45</f>
        <v>0</v>
      </c>
      <c r="AJ25" s="120">
        <f>'Revenue matching'!AJ45</f>
        <v>0</v>
      </c>
      <c r="AK25" s="120">
        <f>'Revenue matching'!AK45</f>
        <v>0</v>
      </c>
      <c r="AL25" s="120">
        <f>'Revenue matching'!AL45</f>
        <v>0</v>
      </c>
      <c r="AM25" s="120">
        <f>'Revenue matching'!AM45</f>
        <v>0</v>
      </c>
      <c r="AN25" s="120">
        <f>'Revenue matching'!AN45</f>
        <v>0</v>
      </c>
      <c r="AO25" s="120">
        <f>'Revenue matching'!AO45</f>
        <v>0</v>
      </c>
    </row>
    <row r="26" spans="3:43" x14ac:dyDescent="0.35">
      <c r="C26" s="88"/>
      <c r="F26" s="37" t="s">
        <v>162</v>
      </c>
      <c r="G26" s="37" t="s">
        <v>272</v>
      </c>
      <c r="H26" s="283"/>
      <c r="I26" s="269"/>
      <c r="J26" s="283">
        <f>'Revenue matching'!J46</f>
        <v>0</v>
      </c>
      <c r="K26" s="283">
        <f>'Revenue matching'!K46</f>
        <v>0</v>
      </c>
      <c r="L26" s="283">
        <f>'Revenue matching'!L46</f>
        <v>0</v>
      </c>
      <c r="M26" s="283">
        <f>'Revenue matching'!M46</f>
        <v>0</v>
      </c>
      <c r="N26" s="283">
        <f>'Revenue matching'!N46</f>
        <v>0</v>
      </c>
      <c r="O26" s="283">
        <f>'Revenue matching'!O46</f>
        <v>0</v>
      </c>
      <c r="P26" s="283">
        <f>'Revenue matching'!P46</f>
        <v>0</v>
      </c>
      <c r="Q26" s="283">
        <f>'Revenue matching'!Q46</f>
        <v>0</v>
      </c>
      <c r="R26" s="283">
        <f>'Revenue matching'!R46</f>
        <v>0.29016585626188895</v>
      </c>
      <c r="S26" s="283">
        <f>'Revenue matching'!S46</f>
        <v>0.29016585626188895</v>
      </c>
      <c r="T26" s="283">
        <f>'Revenue matching'!T46</f>
        <v>0.29016585626188895</v>
      </c>
      <c r="U26" s="283">
        <f>'Revenue matching'!U46</f>
        <v>0.29016585626188895</v>
      </c>
      <c r="V26" s="283">
        <f>'Revenue matching'!V46</f>
        <v>0.29016585626188895</v>
      </c>
      <c r="W26" s="283">
        <f>'Revenue matching'!W46</f>
        <v>0.13734796865901858</v>
      </c>
      <c r="X26" s="283">
        <f>'Revenue matching'!X46</f>
        <v>0.13734796865901858</v>
      </c>
      <c r="Y26" s="283">
        <f>'Revenue matching'!Y46</f>
        <v>0.13734796865901858</v>
      </c>
      <c r="Z26" s="283">
        <f>'Revenue matching'!Z46</f>
        <v>0.13734796865901858</v>
      </c>
      <c r="AA26" s="283">
        <f>'Revenue matching'!AA46</f>
        <v>0.13734796865901858</v>
      </c>
      <c r="AB26" s="283">
        <f>'Revenue matching'!AB46</f>
        <v>9.3179203276517297E-2</v>
      </c>
      <c r="AC26" s="283">
        <f>'Revenue matching'!AC46</f>
        <v>9.3179203276517297E-2</v>
      </c>
      <c r="AD26" s="283">
        <f>'Revenue matching'!AD46</f>
        <v>9.3179203276517297E-2</v>
      </c>
      <c r="AE26" s="283">
        <f>'Revenue matching'!AE46</f>
        <v>9.3179203276517297E-2</v>
      </c>
      <c r="AF26" s="283">
        <f>'Revenue matching'!AF46</f>
        <v>9.3179203276517297E-2</v>
      </c>
      <c r="AG26" s="283">
        <f>'Revenue matching'!AG46</f>
        <v>0</v>
      </c>
      <c r="AH26" s="283">
        <f>'Revenue matching'!AH46</f>
        <v>0</v>
      </c>
      <c r="AI26" s="283">
        <f>'Revenue matching'!AI46</f>
        <v>0</v>
      </c>
      <c r="AJ26" s="283">
        <f>'Revenue matching'!AJ46</f>
        <v>0.28408916936135709</v>
      </c>
      <c r="AK26" s="283">
        <f>'Revenue matching'!AK46</f>
        <v>0</v>
      </c>
      <c r="AL26" s="283">
        <f>'Revenue matching'!AL46</f>
        <v>0.23757355377153469</v>
      </c>
      <c r="AM26" s="283">
        <f>'Revenue matching'!AM46</f>
        <v>0</v>
      </c>
      <c r="AN26" s="283">
        <f>'Revenue matching'!AN46</f>
        <v>0.21638006796957138</v>
      </c>
      <c r="AO26" s="283">
        <f>'Revenue matching'!AO46</f>
        <v>0</v>
      </c>
      <c r="AP26" s="267"/>
      <c r="AQ26" s="267"/>
    </row>
    <row r="27" spans="3:43" x14ac:dyDescent="0.35">
      <c r="C27" s="88"/>
      <c r="E27"/>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row>
    <row r="28" spans="3:43" x14ac:dyDescent="0.35">
      <c r="C28" s="31" t="str">
        <f ca="1">INDEX('Version control'!$H$34:$H$57,MATCH($A$1,'Version control'!$F$34:$F$57,0),1)&amp;"-B: Adders for revenue matching"</f>
        <v>Section 117-B: Adders for revenue matching</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31"/>
      <c r="AQ28" s="31"/>
    </row>
    <row r="29" spans="3:43" x14ac:dyDescent="0.35">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3:43" x14ac:dyDescent="0.35">
      <c r="E30" s="88" t="s">
        <v>1133</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3:43" x14ac:dyDescent="0.35">
      <c r="E31" s="29" t="s">
        <v>1134</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3:43" x14ac:dyDescent="0.35">
      <c r="E32" s="88"/>
      <c r="F32" s="23" t="s">
        <v>156</v>
      </c>
      <c r="G32" s="23" t="s">
        <v>269</v>
      </c>
      <c r="H32" s="278"/>
      <c r="I32" s="266"/>
      <c r="J32" s="271">
        <f>'Revenue matching'!J412</f>
        <v>0</v>
      </c>
      <c r="K32" s="271">
        <f>'Revenue matching'!K412</f>
        <v>0</v>
      </c>
      <c r="L32" s="271">
        <f>'Revenue matching'!L412</f>
        <v>0</v>
      </c>
      <c r="M32" s="271">
        <f>'Revenue matching'!M412</f>
        <v>0</v>
      </c>
      <c r="N32" s="271">
        <f>'Revenue matching'!N412</f>
        <v>0</v>
      </c>
      <c r="O32" s="271">
        <f>'Revenue matching'!O412</f>
        <v>0</v>
      </c>
      <c r="P32" s="271">
        <f>'Revenue matching'!P412</f>
        <v>0</v>
      </c>
      <c r="Q32" s="271">
        <f>'Revenue matching'!Q412</f>
        <v>0</v>
      </c>
      <c r="R32" s="271">
        <f>'Revenue matching'!R412</f>
        <v>0</v>
      </c>
      <c r="S32" s="271">
        <f>'Revenue matching'!S412</f>
        <v>0</v>
      </c>
      <c r="T32" s="271">
        <f>'Revenue matching'!T412</f>
        <v>0</v>
      </c>
      <c r="U32" s="271">
        <f>'Revenue matching'!U412</f>
        <v>0</v>
      </c>
      <c r="V32" s="271">
        <f>'Revenue matching'!V412</f>
        <v>0</v>
      </c>
      <c r="W32" s="271">
        <f>'Revenue matching'!W412</f>
        <v>0</v>
      </c>
      <c r="X32" s="271">
        <f>'Revenue matching'!X412</f>
        <v>0</v>
      </c>
      <c r="Y32" s="271">
        <f>'Revenue matching'!Y412</f>
        <v>0</v>
      </c>
      <c r="Z32" s="271">
        <f>'Revenue matching'!Z412</f>
        <v>0</v>
      </c>
      <c r="AA32" s="271">
        <f>'Revenue matching'!AA412</f>
        <v>0</v>
      </c>
      <c r="AB32" s="271">
        <f>'Revenue matching'!AB412</f>
        <v>0</v>
      </c>
      <c r="AC32" s="271">
        <f>'Revenue matching'!AC412</f>
        <v>0</v>
      </c>
      <c r="AD32" s="271">
        <f>'Revenue matching'!AD412</f>
        <v>0</v>
      </c>
      <c r="AE32" s="271">
        <f>'Revenue matching'!AE412</f>
        <v>0</v>
      </c>
      <c r="AF32" s="271">
        <f>'Revenue matching'!AF412</f>
        <v>0</v>
      </c>
      <c r="AG32" s="271">
        <f>'Revenue matching'!AG412</f>
        <v>0.91062483734601884</v>
      </c>
      <c r="AH32" s="271">
        <f>'Revenue matching'!AH412</f>
        <v>0</v>
      </c>
      <c r="AI32" s="271">
        <f>'Revenue matching'!AI412</f>
        <v>0</v>
      </c>
      <c r="AJ32" s="271">
        <f>'Revenue matching'!AJ412</f>
        <v>0</v>
      </c>
      <c r="AK32" s="271">
        <f>'Revenue matching'!AK412</f>
        <v>0</v>
      </c>
      <c r="AL32" s="271">
        <f>'Revenue matching'!AL412</f>
        <v>0</v>
      </c>
      <c r="AM32" s="271">
        <f>'Revenue matching'!AM412</f>
        <v>0</v>
      </c>
      <c r="AN32" s="271">
        <f>'Revenue matching'!AN412</f>
        <v>0</v>
      </c>
      <c r="AO32" s="271">
        <f>'Revenue matching'!AO412</f>
        <v>0</v>
      </c>
      <c r="AP32" s="267"/>
      <c r="AQ32" s="267"/>
    </row>
    <row r="33" spans="3:43" x14ac:dyDescent="0.35">
      <c r="E33" s="88"/>
      <c r="F33" t="s">
        <v>157</v>
      </c>
      <c r="G33" t="s">
        <v>269</v>
      </c>
      <c r="H33" s="279"/>
      <c r="I33" s="267"/>
      <c r="J33" s="272">
        <f>'Revenue matching'!J413</f>
        <v>0</v>
      </c>
      <c r="K33" s="272">
        <f>'Revenue matching'!K413</f>
        <v>0</v>
      </c>
      <c r="L33" s="272">
        <f>'Revenue matching'!L413</f>
        <v>0</v>
      </c>
      <c r="M33" s="272">
        <f>'Revenue matching'!M413</f>
        <v>0</v>
      </c>
      <c r="N33" s="272">
        <f>'Revenue matching'!N413</f>
        <v>0</v>
      </c>
      <c r="O33" s="272">
        <f>'Revenue matching'!O413</f>
        <v>0</v>
      </c>
      <c r="P33" s="272">
        <f>'Revenue matching'!P413</f>
        <v>0</v>
      </c>
      <c r="Q33" s="272">
        <f>'Revenue matching'!Q413</f>
        <v>0</v>
      </c>
      <c r="R33" s="272">
        <f>'Revenue matching'!R413</f>
        <v>0</v>
      </c>
      <c r="S33" s="272">
        <f>'Revenue matching'!S413</f>
        <v>0</v>
      </c>
      <c r="T33" s="272">
        <f>'Revenue matching'!T413</f>
        <v>0</v>
      </c>
      <c r="U33" s="272">
        <f>'Revenue matching'!U413</f>
        <v>0</v>
      </c>
      <c r="V33" s="272">
        <f>'Revenue matching'!V413</f>
        <v>0</v>
      </c>
      <c r="W33" s="272">
        <f>'Revenue matching'!W413</f>
        <v>0</v>
      </c>
      <c r="X33" s="272">
        <f>'Revenue matching'!X413</f>
        <v>0</v>
      </c>
      <c r="Y33" s="272">
        <f>'Revenue matching'!Y413</f>
        <v>0</v>
      </c>
      <c r="Z33" s="272">
        <f>'Revenue matching'!Z413</f>
        <v>0</v>
      </c>
      <c r="AA33" s="272">
        <f>'Revenue matching'!AA413</f>
        <v>0</v>
      </c>
      <c r="AB33" s="272">
        <f>'Revenue matching'!AB413</f>
        <v>0</v>
      </c>
      <c r="AC33" s="272">
        <f>'Revenue matching'!AC413</f>
        <v>0</v>
      </c>
      <c r="AD33" s="272">
        <f>'Revenue matching'!AD413</f>
        <v>0</v>
      </c>
      <c r="AE33" s="272">
        <f>'Revenue matching'!AE413</f>
        <v>0</v>
      </c>
      <c r="AF33" s="272">
        <f>'Revenue matching'!AF413</f>
        <v>0</v>
      </c>
      <c r="AG33" s="272">
        <f>'Revenue matching'!AG413</f>
        <v>0.91062483734601884</v>
      </c>
      <c r="AH33" s="272">
        <f>'Revenue matching'!AH413</f>
        <v>0</v>
      </c>
      <c r="AI33" s="272">
        <f>'Revenue matching'!AI413</f>
        <v>0</v>
      </c>
      <c r="AJ33" s="272">
        <f>'Revenue matching'!AJ413</f>
        <v>0</v>
      </c>
      <c r="AK33" s="272">
        <f>'Revenue matching'!AK413</f>
        <v>0</v>
      </c>
      <c r="AL33" s="272">
        <f>'Revenue matching'!AL413</f>
        <v>0</v>
      </c>
      <c r="AM33" s="272">
        <f>'Revenue matching'!AM413</f>
        <v>0</v>
      </c>
      <c r="AN33" s="272">
        <f>'Revenue matching'!AN413</f>
        <v>0</v>
      </c>
      <c r="AO33" s="272">
        <f>'Revenue matching'!AO413</f>
        <v>0</v>
      </c>
      <c r="AP33" s="267"/>
      <c r="AQ33" s="267"/>
    </row>
    <row r="34" spans="3:43" x14ac:dyDescent="0.35">
      <c r="E34" s="88"/>
      <c r="F34" t="s">
        <v>158</v>
      </c>
      <c r="G34" t="s">
        <v>269</v>
      </c>
      <c r="H34" s="279"/>
      <c r="I34" s="267"/>
      <c r="J34" s="272">
        <f>'Revenue matching'!J414</f>
        <v>0</v>
      </c>
      <c r="K34" s="272">
        <f>'Revenue matching'!K414</f>
        <v>0</v>
      </c>
      <c r="L34" s="272">
        <f>'Revenue matching'!L414</f>
        <v>0</v>
      </c>
      <c r="M34" s="272">
        <f>'Revenue matching'!M414</f>
        <v>0</v>
      </c>
      <c r="N34" s="272">
        <f>'Revenue matching'!N414</f>
        <v>0</v>
      </c>
      <c r="O34" s="272">
        <f>'Revenue matching'!O414</f>
        <v>0</v>
      </c>
      <c r="P34" s="272">
        <f>'Revenue matching'!P414</f>
        <v>0</v>
      </c>
      <c r="Q34" s="272">
        <f>'Revenue matching'!Q414</f>
        <v>0</v>
      </c>
      <c r="R34" s="272">
        <f>'Revenue matching'!R414</f>
        <v>0</v>
      </c>
      <c r="S34" s="272">
        <f>'Revenue matching'!S414</f>
        <v>0</v>
      </c>
      <c r="T34" s="272">
        <f>'Revenue matching'!T414</f>
        <v>0</v>
      </c>
      <c r="U34" s="272">
        <f>'Revenue matching'!U414</f>
        <v>0</v>
      </c>
      <c r="V34" s="272">
        <f>'Revenue matching'!V414</f>
        <v>0</v>
      </c>
      <c r="W34" s="272">
        <f>'Revenue matching'!W414</f>
        <v>0</v>
      </c>
      <c r="X34" s="272">
        <f>'Revenue matching'!X414</f>
        <v>0</v>
      </c>
      <c r="Y34" s="272">
        <f>'Revenue matching'!Y414</f>
        <v>0</v>
      </c>
      <c r="Z34" s="272">
        <f>'Revenue matching'!Z414</f>
        <v>0</v>
      </c>
      <c r="AA34" s="272">
        <f>'Revenue matching'!AA414</f>
        <v>0</v>
      </c>
      <c r="AB34" s="272">
        <f>'Revenue matching'!AB414</f>
        <v>0</v>
      </c>
      <c r="AC34" s="272">
        <f>'Revenue matching'!AC414</f>
        <v>0</v>
      </c>
      <c r="AD34" s="272">
        <f>'Revenue matching'!AD414</f>
        <v>0</v>
      </c>
      <c r="AE34" s="272">
        <f>'Revenue matching'!AE414</f>
        <v>0</v>
      </c>
      <c r="AF34" s="272">
        <f>'Revenue matching'!AF414</f>
        <v>0</v>
      </c>
      <c r="AG34" s="272">
        <f>'Revenue matching'!AG414</f>
        <v>0.91062483734601884</v>
      </c>
      <c r="AH34" s="272">
        <f>'Revenue matching'!AH414</f>
        <v>0</v>
      </c>
      <c r="AI34" s="272">
        <f>'Revenue matching'!AI414</f>
        <v>0</v>
      </c>
      <c r="AJ34" s="272">
        <f>'Revenue matching'!AJ414</f>
        <v>0</v>
      </c>
      <c r="AK34" s="272">
        <f>'Revenue matching'!AK414</f>
        <v>0</v>
      </c>
      <c r="AL34" s="272">
        <f>'Revenue matching'!AL414</f>
        <v>0</v>
      </c>
      <c r="AM34" s="272">
        <f>'Revenue matching'!AM414</f>
        <v>0</v>
      </c>
      <c r="AN34" s="272">
        <f>'Revenue matching'!AN414</f>
        <v>0</v>
      </c>
      <c r="AO34" s="272">
        <f>'Revenue matching'!AO414</f>
        <v>0</v>
      </c>
      <c r="AP34" s="267"/>
      <c r="AQ34" s="267"/>
    </row>
    <row r="35" spans="3:43" x14ac:dyDescent="0.35">
      <c r="E35" s="88"/>
      <c r="F35" t="s">
        <v>159</v>
      </c>
      <c r="G35" t="s">
        <v>270</v>
      </c>
      <c r="H35" s="51"/>
      <c r="J35" s="272">
        <f>'Revenue matching'!J415</f>
        <v>10.344210427331232</v>
      </c>
      <c r="K35" s="272">
        <f>'Revenue matching'!K415</f>
        <v>0</v>
      </c>
      <c r="L35" s="272">
        <f>'Revenue matching'!L415</f>
        <v>0</v>
      </c>
      <c r="M35" s="272">
        <f>'Revenue matching'!M415</f>
        <v>3.0083304333214778</v>
      </c>
      <c r="N35" s="272">
        <f>'Revenue matching'!N415</f>
        <v>17.801731326022786</v>
      </c>
      <c r="O35" s="272">
        <f>'Revenue matching'!O415</f>
        <v>43.928327480952348</v>
      </c>
      <c r="P35" s="272">
        <f>'Revenue matching'!P415</f>
        <v>143.73395655589948</v>
      </c>
      <c r="Q35" s="272">
        <f>'Revenue matching'!Q415</f>
        <v>0</v>
      </c>
      <c r="R35" s="272">
        <f>'Revenue matching'!R415</f>
        <v>0</v>
      </c>
      <c r="S35" s="272">
        <f>'Revenue matching'!S415</f>
        <v>226.16014780458576</v>
      </c>
      <c r="T35" s="272">
        <f>'Revenue matching'!T415</f>
        <v>425.85759738303898</v>
      </c>
      <c r="U35" s="272">
        <f>'Revenue matching'!U415</f>
        <v>709.75769944682338</v>
      </c>
      <c r="V35" s="272">
        <f>'Revenue matching'!V415</f>
        <v>1659.4880185156978</v>
      </c>
      <c r="W35" s="272">
        <f>'Revenue matching'!W415</f>
        <v>0</v>
      </c>
      <c r="X35" s="272">
        <f>'Revenue matching'!X415</f>
        <v>226.16014780458585</v>
      </c>
      <c r="Y35" s="272">
        <f>'Revenue matching'!Y415</f>
        <v>425.85759738303909</v>
      </c>
      <c r="Z35" s="272">
        <f>'Revenue matching'!Z415</f>
        <v>709.75769944682338</v>
      </c>
      <c r="AA35" s="272">
        <f>'Revenue matching'!AA415</f>
        <v>1659.4880185156978</v>
      </c>
      <c r="AB35" s="272">
        <f>'Revenue matching'!AB415</f>
        <v>0</v>
      </c>
      <c r="AC35" s="272">
        <f>'Revenue matching'!AC415</f>
        <v>419.51129595671119</v>
      </c>
      <c r="AD35" s="272">
        <f>'Revenue matching'!AD415</f>
        <v>3264.5631753355374</v>
      </c>
      <c r="AE35" s="272">
        <f>'Revenue matching'!AE415</f>
        <v>7021.8064202334481</v>
      </c>
      <c r="AF35" s="272">
        <f>'Revenue matching'!AF415</f>
        <v>15420.565139157603</v>
      </c>
      <c r="AG35" s="272">
        <f>'Revenue matching'!AG415</f>
        <v>0</v>
      </c>
      <c r="AH35" s="272">
        <f>'Revenue matching'!AH415</f>
        <v>0</v>
      </c>
      <c r="AI35" s="272">
        <f>'Revenue matching'!AI415</f>
        <v>0</v>
      </c>
      <c r="AJ35" s="272">
        <f>'Revenue matching'!AJ415</f>
        <v>0</v>
      </c>
      <c r="AK35" s="272">
        <f>'Revenue matching'!AK415</f>
        <v>0</v>
      </c>
      <c r="AL35" s="272">
        <f>'Revenue matching'!AL415</f>
        <v>0</v>
      </c>
      <c r="AM35" s="272">
        <f>'Revenue matching'!AM415</f>
        <v>0</v>
      </c>
      <c r="AN35" s="272">
        <f>'Revenue matching'!AN415</f>
        <v>0</v>
      </c>
      <c r="AO35" s="272">
        <f>'Revenue matching'!AO415</f>
        <v>0</v>
      </c>
    </row>
    <row r="36" spans="3:43" x14ac:dyDescent="0.35">
      <c r="E36" s="88"/>
      <c r="F36" t="s">
        <v>160</v>
      </c>
      <c r="G36" t="s">
        <v>271</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3:43" x14ac:dyDescent="0.35">
      <c r="E37" s="88"/>
      <c r="F37" t="s">
        <v>161</v>
      </c>
      <c r="G37" t="s">
        <v>271</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3:43" x14ac:dyDescent="0.35">
      <c r="E38" s="88"/>
      <c r="F38" s="37" t="s">
        <v>162</v>
      </c>
      <c r="G38" s="37" t="s">
        <v>272</v>
      </c>
      <c r="H38" s="283"/>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67"/>
      <c r="AQ38" s="267"/>
    </row>
    <row r="39" spans="3:43" x14ac:dyDescent="0.35">
      <c r="D39" s="88"/>
      <c r="E39"/>
    </row>
    <row r="40" spans="3:43" x14ac:dyDescent="0.35">
      <c r="C40" s="31" t="str">
        <f ca="1">INDEX('Version control'!$H$34:$H$57,MATCH($A$1,'Version control'!$F$34:$F$57,0),1)&amp;"-C: Adder to fixed charge for allocated pass-through costs"</f>
        <v>Section 117-C: Adder to fixed charge for allocated pass-through costs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2" spans="3:43" x14ac:dyDescent="0.35">
      <c r="E42" s="88" t="s">
        <v>877</v>
      </c>
    </row>
    <row r="43" spans="3:43" x14ac:dyDescent="0.35">
      <c r="E43" s="29" t="s">
        <v>889</v>
      </c>
    </row>
    <row r="44" spans="3:43" x14ac:dyDescent="0.35">
      <c r="E44" s="88"/>
      <c r="F44" s="23" t="s">
        <v>156</v>
      </c>
      <c r="G44" s="23" t="s">
        <v>269</v>
      </c>
      <c r="H44" s="278"/>
      <c r="I44" s="266"/>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3:43" x14ac:dyDescent="0.35">
      <c r="E45" s="88"/>
      <c r="F45" t="s">
        <v>157</v>
      </c>
      <c r="G45" t="s">
        <v>269</v>
      </c>
      <c r="H45" s="279"/>
      <c r="I45" s="267"/>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row>
    <row r="46" spans="3:43" x14ac:dyDescent="0.35">
      <c r="E46" s="88"/>
      <c r="F46" t="s">
        <v>158</v>
      </c>
      <c r="G46" t="s">
        <v>269</v>
      </c>
      <c r="H46" s="279"/>
      <c r="I46" s="267"/>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3:43" x14ac:dyDescent="0.35">
      <c r="E47" s="88"/>
      <c r="F47" t="s">
        <v>159</v>
      </c>
      <c r="G47" t="s">
        <v>270</v>
      </c>
      <c r="H47" s="51"/>
      <c r="J47" s="121">
        <f>'Revenue matching'!J48</f>
        <v>9.9225903612093305</v>
      </c>
      <c r="K47" s="121">
        <f>'Revenue matching'!K48</f>
        <v>0</v>
      </c>
      <c r="L47" s="121">
        <f>'Revenue matching'!L48</f>
        <v>4.9696068210495895E-2</v>
      </c>
      <c r="M47" s="121">
        <f>'Revenue matching'!M48</f>
        <v>4.9696068210495895E-2</v>
      </c>
      <c r="N47" s="121">
        <f>'Revenue matching'!N48</f>
        <v>4.9696068210495895E-2</v>
      </c>
      <c r="O47" s="121">
        <f>'Revenue matching'!O48</f>
        <v>4.9696068210495895E-2</v>
      </c>
      <c r="P47" s="121">
        <f>'Revenue matching'!P48</f>
        <v>4.9696068210495895E-2</v>
      </c>
      <c r="Q47" s="121">
        <f>'Revenue matching'!Q48</f>
        <v>0</v>
      </c>
      <c r="R47" s="121">
        <f>'Revenue matching'!R48</f>
        <v>4.9696068210495895E-2</v>
      </c>
      <c r="S47" s="121">
        <f>'Revenue matching'!S48</f>
        <v>4.9696068210495895E-2</v>
      </c>
      <c r="T47" s="121">
        <f>'Revenue matching'!T48</f>
        <v>4.9696068210495895E-2</v>
      </c>
      <c r="U47" s="121">
        <f>'Revenue matching'!U48</f>
        <v>4.9696068210495895E-2</v>
      </c>
      <c r="V47" s="121">
        <f>'Revenue matching'!V48</f>
        <v>4.9696068210495895E-2</v>
      </c>
      <c r="W47" s="121">
        <f>'Revenue matching'!W48</f>
        <v>4.9696068210495895E-2</v>
      </c>
      <c r="X47" s="121">
        <f>'Revenue matching'!X48</f>
        <v>4.9696068210495895E-2</v>
      </c>
      <c r="Y47" s="121">
        <f>'Revenue matching'!Y48</f>
        <v>4.9696068210495895E-2</v>
      </c>
      <c r="Z47" s="121">
        <f>'Revenue matching'!Z48</f>
        <v>4.9696068210495895E-2</v>
      </c>
      <c r="AA47" s="121">
        <f>'Revenue matching'!AA48</f>
        <v>4.9696068210495895E-2</v>
      </c>
      <c r="AB47" s="121">
        <f>'Revenue matching'!AB48</f>
        <v>4.9696068210495895E-2</v>
      </c>
      <c r="AC47" s="121">
        <f>'Revenue matching'!AC48</f>
        <v>4.9696068210495895E-2</v>
      </c>
      <c r="AD47" s="121">
        <f>'Revenue matching'!AD48</f>
        <v>4.9696068210495895E-2</v>
      </c>
      <c r="AE47" s="121">
        <f>'Revenue matching'!AE48</f>
        <v>4.9696068210495895E-2</v>
      </c>
      <c r="AF47" s="121">
        <f>'Revenue matching'!AF48</f>
        <v>4.9696068210495895E-2</v>
      </c>
      <c r="AG47" s="121">
        <f>'Revenue matching'!AG48</f>
        <v>0</v>
      </c>
      <c r="AH47" s="121">
        <f>'Revenue matching'!AH48</f>
        <v>0</v>
      </c>
      <c r="AI47" s="121">
        <f>'Revenue matching'!AI48</f>
        <v>0</v>
      </c>
      <c r="AJ47" s="121">
        <f>'Revenue matching'!AJ48</f>
        <v>0</v>
      </c>
      <c r="AK47" s="121">
        <f>'Revenue matching'!AK48</f>
        <v>0</v>
      </c>
      <c r="AL47" s="121">
        <f>'Revenue matching'!AL48</f>
        <v>0</v>
      </c>
      <c r="AM47" s="121">
        <f>'Revenue matching'!AM48</f>
        <v>0</v>
      </c>
      <c r="AN47" s="121">
        <f>'Revenue matching'!AN48</f>
        <v>0</v>
      </c>
      <c r="AO47" s="121">
        <f>'Revenue matching'!AO48</f>
        <v>0</v>
      </c>
    </row>
    <row r="48" spans="3:43" x14ac:dyDescent="0.35">
      <c r="E48" s="88"/>
      <c r="F48" t="s">
        <v>160</v>
      </c>
      <c r="G48" t="s">
        <v>271</v>
      </c>
      <c r="H48" s="51"/>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3:43" x14ac:dyDescent="0.35">
      <c r="E49" s="88"/>
      <c r="F49" t="s">
        <v>161</v>
      </c>
      <c r="G49" t="s">
        <v>271</v>
      </c>
      <c r="H49" s="51"/>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3:43" x14ac:dyDescent="0.35">
      <c r="E50" s="88"/>
      <c r="F50" s="37" t="s">
        <v>162</v>
      </c>
      <c r="G50" s="37" t="s">
        <v>272</v>
      </c>
      <c r="H50" s="283"/>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row>
    <row r="51" spans="3:43" x14ac:dyDescent="0.35">
      <c r="D51" s="88"/>
      <c r="E51"/>
    </row>
    <row r="52" spans="3:43" x14ac:dyDescent="0.3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4" spans="3:43" x14ac:dyDescent="0.35">
      <c r="E54" s="51"/>
      <c r="F54" s="378" t="s">
        <v>1010</v>
      </c>
      <c r="G54" s="378" t="s">
        <v>149</v>
      </c>
      <c r="J54" s="51">
        <f>'Fixed inputs'!J169</f>
        <v>1</v>
      </c>
      <c r="K54" s="51">
        <f>'Fixed inputs'!K169</f>
        <v>2</v>
      </c>
      <c r="L54" s="51">
        <f>'Fixed inputs'!L169</f>
        <v>3</v>
      </c>
      <c r="M54" s="51">
        <f>'Fixed inputs'!M169</f>
        <v>3</v>
      </c>
      <c r="N54" s="51">
        <f>'Fixed inputs'!N169</f>
        <v>3</v>
      </c>
      <c r="O54" s="51">
        <f>'Fixed inputs'!O169</f>
        <v>3</v>
      </c>
      <c r="P54" s="51">
        <f>'Fixed inputs'!P169</f>
        <v>3</v>
      </c>
      <c r="Q54" s="51">
        <f>'Fixed inputs'!Q169</f>
        <v>4</v>
      </c>
      <c r="R54" s="51">
        <f>'Fixed inputs'!R169</f>
        <v>5</v>
      </c>
      <c r="S54" s="51">
        <f>'Fixed inputs'!S169</f>
        <v>5</v>
      </c>
      <c r="T54" s="51">
        <f>'Fixed inputs'!T169</f>
        <v>5</v>
      </c>
      <c r="U54" s="51">
        <f>'Fixed inputs'!U169</f>
        <v>5</v>
      </c>
      <c r="V54" s="51">
        <f>'Fixed inputs'!V169</f>
        <v>5</v>
      </c>
      <c r="W54" s="51">
        <f>'Fixed inputs'!W169</f>
        <v>6</v>
      </c>
      <c r="X54" s="51">
        <f>'Fixed inputs'!X169</f>
        <v>6</v>
      </c>
      <c r="Y54" s="51">
        <f>'Fixed inputs'!Y169</f>
        <v>6</v>
      </c>
      <c r="Z54" s="51">
        <f>'Fixed inputs'!Z169</f>
        <v>6</v>
      </c>
      <c r="AA54" s="51">
        <f>'Fixed inputs'!AA169</f>
        <v>6</v>
      </c>
      <c r="AB54" s="51">
        <f>'Fixed inputs'!AB169</f>
        <v>7</v>
      </c>
      <c r="AC54" s="51">
        <f>'Fixed inputs'!AC169</f>
        <v>7</v>
      </c>
      <c r="AD54" s="51">
        <f>'Fixed inputs'!AD169</f>
        <v>7</v>
      </c>
      <c r="AE54" s="51">
        <f>'Fixed inputs'!AE169</f>
        <v>7</v>
      </c>
      <c r="AF54" s="51">
        <f>'Fixed inputs'!AF169</f>
        <v>7</v>
      </c>
      <c r="AG54" s="51">
        <f>'Fixed inputs'!AG169</f>
        <v>8</v>
      </c>
      <c r="AH54" s="51">
        <f>'Fixed inputs'!AH169</f>
        <v>9</v>
      </c>
      <c r="AI54" s="51">
        <f>'Fixed inputs'!AI169</f>
        <v>10</v>
      </c>
      <c r="AJ54" s="51">
        <f>'Fixed inputs'!AJ169</f>
        <v>11</v>
      </c>
      <c r="AK54" s="51">
        <f>'Fixed inputs'!AK169</f>
        <v>12</v>
      </c>
      <c r="AL54" s="51">
        <f>'Fixed inputs'!AL169</f>
        <v>13</v>
      </c>
      <c r="AM54" s="51">
        <f>'Fixed inputs'!AM169</f>
        <v>14</v>
      </c>
      <c r="AN54" s="51">
        <f>'Fixed inputs'!AN169</f>
        <v>15</v>
      </c>
      <c r="AO54" s="51">
        <f>'Fixed inputs'!AO169</f>
        <v>16</v>
      </c>
    </row>
    <row r="56" spans="3:43" ht="43.5" x14ac:dyDescent="0.35">
      <c r="E56" s="88" t="s">
        <v>748</v>
      </c>
      <c r="I56" t="s">
        <v>154</v>
      </c>
      <c r="J56" s="236" t="s">
        <v>829</v>
      </c>
      <c r="K56" s="236" t="s">
        <v>831</v>
      </c>
      <c r="L56" s="236" t="s">
        <v>830</v>
      </c>
      <c r="M56" s="236" t="s">
        <v>832</v>
      </c>
      <c r="N56" s="236" t="s">
        <v>838</v>
      </c>
      <c r="O56" s="236" t="s">
        <v>839</v>
      </c>
      <c r="P56" s="236" t="s">
        <v>840</v>
      </c>
      <c r="Q56" s="236" t="s">
        <v>841</v>
      </c>
      <c r="R56" s="236" t="s">
        <v>833</v>
      </c>
      <c r="S56" s="236" t="s">
        <v>834</v>
      </c>
      <c r="T56" s="236" t="s">
        <v>835</v>
      </c>
      <c r="U56" s="236" t="s">
        <v>844</v>
      </c>
      <c r="V56" s="236" t="s">
        <v>836</v>
      </c>
      <c r="W56" s="236" t="s">
        <v>843</v>
      </c>
      <c r="X56" s="236" t="s">
        <v>837</v>
      </c>
      <c r="Y56" s="236" t="s">
        <v>842</v>
      </c>
    </row>
    <row r="57" spans="3:43" x14ac:dyDescent="0.35">
      <c r="E57" s="88"/>
      <c r="F57" s="23" t="s">
        <v>156</v>
      </c>
      <c r="G57" s="23" t="s">
        <v>167</v>
      </c>
      <c r="H57" s="174"/>
      <c r="I57" s="23"/>
      <c r="J57" s="343">
        <f>'Volume adjustments'!J315</f>
        <v>0.29370961868251882</v>
      </c>
      <c r="K57" s="343">
        <f>'Volume adjustments'!K315</f>
        <v>0.29370961868251882</v>
      </c>
      <c r="L57" s="343">
        <f>'Volume adjustments'!L315</f>
        <v>0.29370961868251882</v>
      </c>
      <c r="M57" s="343">
        <f>'Volume adjustments'!M315</f>
        <v>0.29370961868251882</v>
      </c>
      <c r="N57" s="343">
        <f>'Volume adjustments'!N315</f>
        <v>0.29370961868251882</v>
      </c>
      <c r="O57" s="343">
        <f>'Volume adjustments'!O315</f>
        <v>0</v>
      </c>
      <c r="P57" s="343">
        <f>'Volume adjustments'!P315</f>
        <v>0</v>
      </c>
      <c r="Q57" s="343">
        <f>'Volume adjustments'!Q315</f>
        <v>0.29370961868251882</v>
      </c>
      <c r="R57" s="343">
        <f>'Volume adjustments'!R315</f>
        <v>0</v>
      </c>
      <c r="S57" s="343">
        <f>'Volume adjustments'!S315</f>
        <v>0</v>
      </c>
      <c r="T57" s="343">
        <f>'Volume adjustments'!T315</f>
        <v>0</v>
      </c>
      <c r="U57" s="343">
        <f>'Volume adjustments'!U315</f>
        <v>0</v>
      </c>
      <c r="V57" s="343">
        <f>'Volume adjustments'!V315</f>
        <v>0</v>
      </c>
      <c r="W57" s="343">
        <f>'Volume adjustments'!W315</f>
        <v>0</v>
      </c>
      <c r="X57" s="343">
        <f>'Volume adjustments'!X315</f>
        <v>0</v>
      </c>
      <c r="Y57" s="343">
        <f>'Volume adjustments'!Y315</f>
        <v>0</v>
      </c>
    </row>
    <row r="58" spans="3:43" x14ac:dyDescent="0.35">
      <c r="E58" s="88"/>
      <c r="F58" t="s">
        <v>157</v>
      </c>
      <c r="G58" t="s">
        <v>167</v>
      </c>
      <c r="H58" s="51"/>
      <c r="J58" s="344">
        <f>'Volume adjustments'!J316</f>
        <v>0.29370961868251882</v>
      </c>
      <c r="K58" s="344">
        <f>'Volume adjustments'!K316</f>
        <v>0.29370961868251882</v>
      </c>
      <c r="L58" s="344">
        <f>'Volume adjustments'!L316</f>
        <v>0.29370961868251882</v>
      </c>
      <c r="M58" s="344">
        <f>'Volume adjustments'!M316</f>
        <v>0.29370961868251882</v>
      </c>
      <c r="N58" s="344">
        <f>'Volume adjustments'!N316</f>
        <v>0.29370961868251882</v>
      </c>
      <c r="O58" s="344">
        <f>'Volume adjustments'!O316</f>
        <v>0</v>
      </c>
      <c r="P58" s="344">
        <f>'Volume adjustments'!P316</f>
        <v>0</v>
      </c>
      <c r="Q58" s="344">
        <f>'Volume adjustments'!Q316</f>
        <v>0.29370961868251882</v>
      </c>
      <c r="R58" s="344">
        <f>'Volume adjustments'!R316</f>
        <v>0</v>
      </c>
      <c r="S58" s="344">
        <f>'Volume adjustments'!S316</f>
        <v>0</v>
      </c>
      <c r="T58" s="344">
        <f>'Volume adjustments'!T316</f>
        <v>0</v>
      </c>
      <c r="U58" s="344">
        <f>'Volume adjustments'!U316</f>
        <v>0</v>
      </c>
      <c r="V58" s="344">
        <f>'Volume adjustments'!V316</f>
        <v>0</v>
      </c>
      <c r="W58" s="344">
        <f>'Volume adjustments'!W316</f>
        <v>0</v>
      </c>
      <c r="X58" s="344">
        <f>'Volume adjustments'!X316</f>
        <v>0</v>
      </c>
      <c r="Y58" s="344">
        <f>'Volume adjustments'!Y316</f>
        <v>0</v>
      </c>
    </row>
    <row r="59" spans="3:43" x14ac:dyDescent="0.35">
      <c r="E59" s="88"/>
      <c r="F59" t="s">
        <v>158</v>
      </c>
      <c r="G59" t="s">
        <v>167</v>
      </c>
      <c r="H59" s="51"/>
      <c r="J59" s="344">
        <f>'Volume adjustments'!J317</f>
        <v>0.29370961868251882</v>
      </c>
      <c r="K59" s="344">
        <f>'Volume adjustments'!K317</f>
        <v>0.29370961868251882</v>
      </c>
      <c r="L59" s="344">
        <f>'Volume adjustments'!L317</f>
        <v>0.29370961868251882</v>
      </c>
      <c r="M59" s="344">
        <f>'Volume adjustments'!M317</f>
        <v>0.29370961868251882</v>
      </c>
      <c r="N59" s="344">
        <f>'Volume adjustments'!N317</f>
        <v>0.29370961868251882</v>
      </c>
      <c r="O59" s="344">
        <f>'Volume adjustments'!O317</f>
        <v>0</v>
      </c>
      <c r="P59" s="344">
        <f>'Volume adjustments'!P317</f>
        <v>0</v>
      </c>
      <c r="Q59" s="344">
        <f>'Volume adjustments'!Q317</f>
        <v>0.29370961868251882</v>
      </c>
      <c r="R59" s="344">
        <f>'Volume adjustments'!R317</f>
        <v>0</v>
      </c>
      <c r="S59" s="344">
        <f>'Volume adjustments'!S317</f>
        <v>0</v>
      </c>
      <c r="T59" s="344">
        <f>'Volume adjustments'!T317</f>
        <v>0</v>
      </c>
      <c r="U59" s="344">
        <f>'Volume adjustments'!U317</f>
        <v>0</v>
      </c>
      <c r="V59" s="344">
        <f>'Volume adjustments'!V317</f>
        <v>0</v>
      </c>
      <c r="W59" s="344">
        <f>'Volume adjustments'!W317</f>
        <v>0</v>
      </c>
      <c r="X59" s="344">
        <f>'Volume adjustments'!X317</f>
        <v>0</v>
      </c>
      <c r="Y59" s="344">
        <f>'Volume adjustments'!Y317</f>
        <v>0</v>
      </c>
    </row>
    <row r="60" spans="3:43" x14ac:dyDescent="0.35">
      <c r="E60" s="88"/>
      <c r="F60" t="s">
        <v>159</v>
      </c>
      <c r="G60" t="s">
        <v>167</v>
      </c>
      <c r="H60" s="51"/>
      <c r="J60" s="344">
        <f>'Volume adjustments'!J318</f>
        <v>0.29370961868251882</v>
      </c>
      <c r="K60" s="344">
        <f>'Volume adjustments'!K318</f>
        <v>0.29370961868251882</v>
      </c>
      <c r="L60" s="344">
        <f>'Volume adjustments'!L318</f>
        <v>0.29370961868251882</v>
      </c>
      <c r="M60" s="344">
        <f>'Volume adjustments'!M318</f>
        <v>0.29370961868251882</v>
      </c>
      <c r="N60" s="344">
        <f>'Volume adjustments'!N318</f>
        <v>0.29370961868251882</v>
      </c>
      <c r="O60" s="344">
        <f>'Volume adjustments'!O318</f>
        <v>0</v>
      </c>
      <c r="P60" s="344">
        <f>'Volume adjustments'!P318</f>
        <v>0</v>
      </c>
      <c r="Q60" s="344">
        <f>'Volume adjustments'!Q318</f>
        <v>0.29370961868251882</v>
      </c>
      <c r="R60" s="344">
        <f>'Volume adjustments'!R318</f>
        <v>1</v>
      </c>
      <c r="S60" s="344">
        <f>'Volume adjustments'!S318</f>
        <v>1</v>
      </c>
      <c r="T60" s="344">
        <f>'Volume adjustments'!T318</f>
        <v>1</v>
      </c>
      <c r="U60" s="344">
        <f>'Volume adjustments'!U318</f>
        <v>1</v>
      </c>
      <c r="V60" s="344">
        <f>'Volume adjustments'!V318</f>
        <v>1</v>
      </c>
      <c r="W60" s="344">
        <f>'Volume adjustments'!W318</f>
        <v>1</v>
      </c>
      <c r="X60" s="344">
        <f>'Volume adjustments'!X318</f>
        <v>1</v>
      </c>
      <c r="Y60" s="344">
        <f>'Volume adjustments'!Y318</f>
        <v>1</v>
      </c>
    </row>
    <row r="61" spans="3:43" x14ac:dyDescent="0.35">
      <c r="E61" s="88"/>
      <c r="F61" t="s">
        <v>160</v>
      </c>
      <c r="G61" t="s">
        <v>167</v>
      </c>
      <c r="H61" s="51"/>
      <c r="J61" s="344">
        <f>'Volume adjustments'!J319</f>
        <v>0.29370961868251882</v>
      </c>
      <c r="K61" s="344">
        <f>'Volume adjustments'!K319</f>
        <v>0.29370961868251882</v>
      </c>
      <c r="L61" s="344">
        <f>'Volume adjustments'!L319</f>
        <v>0.29370961868251882</v>
      </c>
      <c r="M61" s="344">
        <f>'Volume adjustments'!M319</f>
        <v>0.29370961868251882</v>
      </c>
      <c r="N61" s="344">
        <f>'Volume adjustments'!N319</f>
        <v>0.29370961868251882</v>
      </c>
      <c r="O61" s="344">
        <f>'Volume adjustments'!O319</f>
        <v>0</v>
      </c>
      <c r="P61" s="344">
        <f>'Volume adjustments'!P319</f>
        <v>0</v>
      </c>
      <c r="Q61" s="344">
        <f>'Volume adjustments'!Q319</f>
        <v>0.29370961868251882</v>
      </c>
      <c r="R61" s="344">
        <f>'Volume adjustments'!R319</f>
        <v>0</v>
      </c>
      <c r="S61" s="344">
        <f>'Volume adjustments'!S319</f>
        <v>0</v>
      </c>
      <c r="T61" s="344">
        <f>'Volume adjustments'!T319</f>
        <v>0</v>
      </c>
      <c r="U61" s="344">
        <f>'Volume adjustments'!U319</f>
        <v>0</v>
      </c>
      <c r="V61" s="344">
        <f>'Volume adjustments'!V319</f>
        <v>0</v>
      </c>
      <c r="W61" s="344">
        <f>'Volume adjustments'!W319</f>
        <v>0</v>
      </c>
      <c r="X61" s="344">
        <f>'Volume adjustments'!X319</f>
        <v>0</v>
      </c>
      <c r="Y61" s="344">
        <f>'Volume adjustments'!Y319</f>
        <v>0</v>
      </c>
    </row>
    <row r="62" spans="3:43" x14ac:dyDescent="0.35">
      <c r="E62" s="88"/>
      <c r="F62" t="s">
        <v>161</v>
      </c>
      <c r="G62" t="s">
        <v>167</v>
      </c>
      <c r="H62" s="51"/>
      <c r="J62" s="344">
        <f>'Volume adjustments'!J320</f>
        <v>0.29370961868251882</v>
      </c>
      <c r="K62" s="344">
        <f>'Volume adjustments'!K320</f>
        <v>0.29370961868251882</v>
      </c>
      <c r="L62" s="344">
        <f>'Volume adjustments'!L320</f>
        <v>0.29370961868251882</v>
      </c>
      <c r="M62" s="344">
        <f>'Volume adjustments'!M320</f>
        <v>0.29370961868251882</v>
      </c>
      <c r="N62" s="344">
        <f>'Volume adjustments'!N320</f>
        <v>0.29370961868251882</v>
      </c>
      <c r="O62" s="344">
        <f>'Volume adjustments'!O320</f>
        <v>0</v>
      </c>
      <c r="P62" s="344">
        <f>'Volume adjustments'!P320</f>
        <v>0</v>
      </c>
      <c r="Q62" s="344">
        <f>'Volume adjustments'!Q320</f>
        <v>0.29370961868251882</v>
      </c>
      <c r="R62" s="344">
        <f>'Volume adjustments'!R320</f>
        <v>0</v>
      </c>
      <c r="S62" s="344">
        <f>'Volume adjustments'!S320</f>
        <v>0</v>
      </c>
      <c r="T62" s="344">
        <f>'Volume adjustments'!T320</f>
        <v>0</v>
      </c>
      <c r="U62" s="344">
        <f>'Volume adjustments'!U320</f>
        <v>0</v>
      </c>
      <c r="V62" s="344">
        <f>'Volume adjustments'!V320</f>
        <v>0</v>
      </c>
      <c r="W62" s="344">
        <f>'Volume adjustments'!W320</f>
        <v>0</v>
      </c>
      <c r="X62" s="344">
        <f>'Volume adjustments'!X320</f>
        <v>0</v>
      </c>
      <c r="Y62" s="344">
        <f>'Volume adjustments'!Y320</f>
        <v>0</v>
      </c>
    </row>
    <row r="63" spans="3:43" x14ac:dyDescent="0.35">
      <c r="E63" s="88"/>
      <c r="F63" s="37" t="s">
        <v>162</v>
      </c>
      <c r="G63" s="37" t="s">
        <v>167</v>
      </c>
      <c r="H63" s="211"/>
      <c r="I63" s="37"/>
      <c r="J63" s="345">
        <f>'Volume adjustments'!J321</f>
        <v>0.29370961868251882</v>
      </c>
      <c r="K63" s="345">
        <f>'Volume adjustments'!K321</f>
        <v>0.29370961868251882</v>
      </c>
      <c r="L63" s="345">
        <f>'Volume adjustments'!L321</f>
        <v>0.29370961868251882</v>
      </c>
      <c r="M63" s="345">
        <f>'Volume adjustments'!M321</f>
        <v>0.29370961868251882</v>
      </c>
      <c r="N63" s="345">
        <f>'Volume adjustments'!N321</f>
        <v>0.29370961868251882</v>
      </c>
      <c r="O63" s="345">
        <f>'Volume adjustments'!O321</f>
        <v>0</v>
      </c>
      <c r="P63" s="345">
        <f>'Volume adjustments'!P321</f>
        <v>0</v>
      </c>
      <c r="Q63" s="345">
        <f>'Volume adjustments'!Q321</f>
        <v>0.29370961868251882</v>
      </c>
      <c r="R63" s="345">
        <f>'Volume adjustments'!R321</f>
        <v>0</v>
      </c>
      <c r="S63" s="345">
        <f>'Volume adjustments'!S321</f>
        <v>0</v>
      </c>
      <c r="T63" s="345">
        <f>'Volume adjustments'!T321</f>
        <v>0</v>
      </c>
      <c r="U63" s="345">
        <f>'Volume adjustments'!U321</f>
        <v>0</v>
      </c>
      <c r="V63" s="345">
        <f>'Volume adjustments'!V321</f>
        <v>0</v>
      </c>
      <c r="W63" s="345">
        <f>'Volume adjustments'!W321</f>
        <v>0</v>
      </c>
      <c r="X63" s="345">
        <f>'Volume adjustments'!X321</f>
        <v>0</v>
      </c>
      <c r="Y63" s="345">
        <f>'Volume adjustments'!Y321</f>
        <v>0</v>
      </c>
    </row>
    <row r="64" spans="3:43" x14ac:dyDescent="0.35">
      <c r="E64"/>
    </row>
    <row r="65" spans="4:43" ht="43.5" x14ac:dyDescent="0.35">
      <c r="E65" s="88" t="s">
        <v>749</v>
      </c>
      <c r="I65" t="s">
        <v>154</v>
      </c>
      <c r="J65" s="236" t="s">
        <v>829</v>
      </c>
      <c r="K65" s="236" t="s">
        <v>831</v>
      </c>
      <c r="L65" s="236" t="s">
        <v>830</v>
      </c>
      <c r="M65" s="236" t="s">
        <v>832</v>
      </c>
      <c r="N65" s="236" t="s">
        <v>838</v>
      </c>
      <c r="O65" s="236" t="s">
        <v>839</v>
      </c>
      <c r="P65" s="236" t="s">
        <v>840</v>
      </c>
      <c r="Q65" s="236" t="s">
        <v>841</v>
      </c>
      <c r="R65" s="236" t="s">
        <v>833</v>
      </c>
      <c r="S65" s="236" t="s">
        <v>834</v>
      </c>
      <c r="T65" s="236" t="s">
        <v>835</v>
      </c>
      <c r="U65" s="236" t="s">
        <v>844</v>
      </c>
      <c r="V65" s="236" t="s">
        <v>836</v>
      </c>
      <c r="W65" s="236" t="s">
        <v>843</v>
      </c>
      <c r="X65" s="236" t="s">
        <v>837</v>
      </c>
      <c r="Y65" s="236" t="s">
        <v>842</v>
      </c>
    </row>
    <row r="66" spans="4:43" x14ac:dyDescent="0.35">
      <c r="E66" s="88"/>
      <c r="F66" s="23" t="s">
        <v>156</v>
      </c>
      <c r="G66" s="23" t="s">
        <v>167</v>
      </c>
      <c r="H66" s="174"/>
      <c r="I66" s="23"/>
      <c r="J66" s="343">
        <f>'Volume adjustments'!J324</f>
        <v>0.53256520183821399</v>
      </c>
      <c r="K66" s="343">
        <f>'Volume adjustments'!K324</f>
        <v>0.53256520183821399</v>
      </c>
      <c r="L66" s="343">
        <f>'Volume adjustments'!L324</f>
        <v>0.53256520183821399</v>
      </c>
      <c r="M66" s="343">
        <f>'Volume adjustments'!M324</f>
        <v>0.53256520183821399</v>
      </c>
      <c r="N66" s="343">
        <f>'Volume adjustments'!N324</f>
        <v>0.53256520183821399</v>
      </c>
      <c r="O66" s="343">
        <f>'Volume adjustments'!O324</f>
        <v>0.32519003293204285</v>
      </c>
      <c r="P66" s="343">
        <f>'Volume adjustments'!P324</f>
        <v>0.26241459087249852</v>
      </c>
      <c r="Q66" s="343">
        <f>'Volume adjustments'!Q324</f>
        <v>0.53256520183821399</v>
      </c>
      <c r="R66" s="343">
        <f>'Volume adjustments'!R324</f>
        <v>0</v>
      </c>
      <c r="S66" s="343">
        <f>'Volume adjustments'!S324</f>
        <v>0</v>
      </c>
      <c r="T66" s="343">
        <f>'Volume adjustments'!T324</f>
        <v>0</v>
      </c>
      <c r="U66" s="343">
        <f>'Volume adjustments'!U324</f>
        <v>0</v>
      </c>
      <c r="V66" s="343">
        <f>'Volume adjustments'!V324</f>
        <v>0</v>
      </c>
      <c r="W66" s="343">
        <f>'Volume adjustments'!W324</f>
        <v>0</v>
      </c>
      <c r="X66" s="343">
        <f>'Volume adjustments'!X324</f>
        <v>0</v>
      </c>
      <c r="Y66" s="343">
        <f>'Volume adjustments'!Y324</f>
        <v>0</v>
      </c>
    </row>
    <row r="67" spans="4:43" x14ac:dyDescent="0.35">
      <c r="E67" s="88"/>
      <c r="F67" t="s">
        <v>157</v>
      </c>
      <c r="G67" t="s">
        <v>167</v>
      </c>
      <c r="H67" s="51"/>
      <c r="J67" s="344">
        <f>'Volume adjustments'!J325</f>
        <v>0.53256520183821399</v>
      </c>
      <c r="K67" s="344">
        <f>'Volume adjustments'!K325</f>
        <v>0.53256520183821399</v>
      </c>
      <c r="L67" s="344">
        <f>'Volume adjustments'!L325</f>
        <v>0.53256520183821399</v>
      </c>
      <c r="M67" s="344">
        <f>'Volume adjustments'!M325</f>
        <v>0.53256520183821399</v>
      </c>
      <c r="N67" s="344">
        <f>'Volume adjustments'!N325</f>
        <v>0.53256520183821399</v>
      </c>
      <c r="O67" s="344">
        <f>'Volume adjustments'!O325</f>
        <v>0.32519003293204285</v>
      </c>
      <c r="P67" s="344">
        <f>'Volume adjustments'!P325</f>
        <v>0.26241459087249852</v>
      </c>
      <c r="Q67" s="344">
        <f>'Volume adjustments'!Q325</f>
        <v>0.53256520183821399</v>
      </c>
      <c r="R67" s="344">
        <f>'Volume adjustments'!R325</f>
        <v>0</v>
      </c>
      <c r="S67" s="344">
        <f>'Volume adjustments'!S325</f>
        <v>0</v>
      </c>
      <c r="T67" s="344">
        <f>'Volume adjustments'!T325</f>
        <v>0</v>
      </c>
      <c r="U67" s="344">
        <f>'Volume adjustments'!U325</f>
        <v>0</v>
      </c>
      <c r="V67" s="344">
        <f>'Volume adjustments'!V325</f>
        <v>0</v>
      </c>
      <c r="W67" s="344">
        <f>'Volume adjustments'!W325</f>
        <v>0</v>
      </c>
      <c r="X67" s="344">
        <f>'Volume adjustments'!X325</f>
        <v>0</v>
      </c>
      <c r="Y67" s="344">
        <f>'Volume adjustments'!Y325</f>
        <v>0</v>
      </c>
    </row>
    <row r="68" spans="4:43" x14ac:dyDescent="0.35">
      <c r="E68" s="88"/>
      <c r="F68" t="s">
        <v>158</v>
      </c>
      <c r="G68" t="s">
        <v>167</v>
      </c>
      <c r="H68" s="51"/>
      <c r="J68" s="344">
        <f>'Volume adjustments'!J326</f>
        <v>0.53256520183821399</v>
      </c>
      <c r="K68" s="344">
        <f>'Volume adjustments'!K326</f>
        <v>0.53256520183821399</v>
      </c>
      <c r="L68" s="344">
        <f>'Volume adjustments'!L326</f>
        <v>0.53256520183821399</v>
      </c>
      <c r="M68" s="344">
        <f>'Volume adjustments'!M326</f>
        <v>0.53256520183821399</v>
      </c>
      <c r="N68" s="344">
        <f>'Volume adjustments'!N326</f>
        <v>0.53256520183821399</v>
      </c>
      <c r="O68" s="344">
        <f>'Volume adjustments'!O326</f>
        <v>0.32519003293204285</v>
      </c>
      <c r="P68" s="344">
        <f>'Volume adjustments'!P326</f>
        <v>0.26241459087249852</v>
      </c>
      <c r="Q68" s="344">
        <f>'Volume adjustments'!Q326</f>
        <v>0.53256520183821399</v>
      </c>
      <c r="R68" s="344">
        <f>'Volume adjustments'!R326</f>
        <v>0</v>
      </c>
      <c r="S68" s="344">
        <f>'Volume adjustments'!S326</f>
        <v>0</v>
      </c>
      <c r="T68" s="344">
        <f>'Volume adjustments'!T326</f>
        <v>0</v>
      </c>
      <c r="U68" s="344">
        <f>'Volume adjustments'!U326</f>
        <v>0</v>
      </c>
      <c r="V68" s="344">
        <f>'Volume adjustments'!V326</f>
        <v>0</v>
      </c>
      <c r="W68" s="344">
        <f>'Volume adjustments'!W326</f>
        <v>0</v>
      </c>
      <c r="X68" s="344">
        <f>'Volume adjustments'!X326</f>
        <v>0</v>
      </c>
      <c r="Y68" s="344">
        <f>'Volume adjustments'!Y326</f>
        <v>0</v>
      </c>
    </row>
    <row r="69" spans="4:43" x14ac:dyDescent="0.35">
      <c r="E69" s="88"/>
      <c r="F69" t="s">
        <v>159</v>
      </c>
      <c r="G69" t="s">
        <v>167</v>
      </c>
      <c r="H69" s="51"/>
      <c r="J69" s="344">
        <f>'Volume adjustments'!J327</f>
        <v>0.53256520183821399</v>
      </c>
      <c r="K69" s="344">
        <f>'Volume adjustments'!K327</f>
        <v>0.53256520183821399</v>
      </c>
      <c r="L69" s="344">
        <f>'Volume adjustments'!L327</f>
        <v>0.53256520183821399</v>
      </c>
      <c r="M69" s="344">
        <f>'Volume adjustments'!M327</f>
        <v>0.53256520183821399</v>
      </c>
      <c r="N69" s="344">
        <f>'Volume adjustments'!N327</f>
        <v>0.53256520183821399</v>
      </c>
      <c r="O69" s="344">
        <f>'Volume adjustments'!O327</f>
        <v>0.32519003293204285</v>
      </c>
      <c r="P69" s="344">
        <f>'Volume adjustments'!P327</f>
        <v>0.26241459087249852</v>
      </c>
      <c r="Q69" s="344">
        <f>'Volume adjustments'!Q327</f>
        <v>0.53256520183821399</v>
      </c>
      <c r="R69" s="344">
        <f>'Volume adjustments'!R327</f>
        <v>1</v>
      </c>
      <c r="S69" s="344">
        <f>'Volume adjustments'!S327</f>
        <v>1</v>
      </c>
      <c r="T69" s="344">
        <f>'Volume adjustments'!T327</f>
        <v>1</v>
      </c>
      <c r="U69" s="344">
        <f>'Volume adjustments'!U327</f>
        <v>1</v>
      </c>
      <c r="V69" s="344">
        <f>'Volume adjustments'!V327</f>
        <v>1</v>
      </c>
      <c r="W69" s="344">
        <f>'Volume adjustments'!W327</f>
        <v>1</v>
      </c>
      <c r="X69" s="344">
        <f>'Volume adjustments'!X327</f>
        <v>1</v>
      </c>
      <c r="Y69" s="344">
        <f>'Volume adjustments'!Y327</f>
        <v>1</v>
      </c>
    </row>
    <row r="70" spans="4:43" x14ac:dyDescent="0.35">
      <c r="E70" s="88"/>
      <c r="F70" t="s">
        <v>160</v>
      </c>
      <c r="G70" t="s">
        <v>167</v>
      </c>
      <c r="H70" s="51"/>
      <c r="J70" s="344">
        <f>'Volume adjustments'!J328</f>
        <v>0.53256520183821399</v>
      </c>
      <c r="K70" s="344">
        <f>'Volume adjustments'!K328</f>
        <v>0.53256520183821399</v>
      </c>
      <c r="L70" s="344">
        <f>'Volume adjustments'!L328</f>
        <v>0.53256520183821399</v>
      </c>
      <c r="M70" s="344">
        <f>'Volume adjustments'!M328</f>
        <v>0.53256520183821399</v>
      </c>
      <c r="N70" s="344">
        <f>'Volume adjustments'!N328</f>
        <v>0.53256520183821399</v>
      </c>
      <c r="O70" s="344">
        <f>'Volume adjustments'!O328</f>
        <v>0.32519003293204285</v>
      </c>
      <c r="P70" s="344">
        <f>'Volume adjustments'!P328</f>
        <v>0.26241459087249852</v>
      </c>
      <c r="Q70" s="344">
        <f>'Volume adjustments'!Q328</f>
        <v>0.53256520183821399</v>
      </c>
      <c r="R70" s="344">
        <f>'Volume adjustments'!R328</f>
        <v>0</v>
      </c>
      <c r="S70" s="344">
        <f>'Volume adjustments'!S328</f>
        <v>0</v>
      </c>
      <c r="T70" s="344">
        <f>'Volume adjustments'!T328</f>
        <v>0</v>
      </c>
      <c r="U70" s="344">
        <f>'Volume adjustments'!U328</f>
        <v>0</v>
      </c>
      <c r="V70" s="344">
        <f>'Volume adjustments'!V328</f>
        <v>0</v>
      </c>
      <c r="W70" s="344">
        <f>'Volume adjustments'!W328</f>
        <v>0</v>
      </c>
      <c r="X70" s="344">
        <f>'Volume adjustments'!X328</f>
        <v>0</v>
      </c>
      <c r="Y70" s="344">
        <f>'Volume adjustments'!Y328</f>
        <v>0</v>
      </c>
    </row>
    <row r="71" spans="4:43" x14ac:dyDescent="0.35">
      <c r="E71" s="88"/>
      <c r="F71" t="s">
        <v>161</v>
      </c>
      <c r="G71" t="s">
        <v>167</v>
      </c>
      <c r="H71" s="51"/>
      <c r="J71" s="344">
        <f>'Volume adjustments'!J329</f>
        <v>0.53256520183821399</v>
      </c>
      <c r="K71" s="344">
        <f>'Volume adjustments'!K329</f>
        <v>0.53256520183821399</v>
      </c>
      <c r="L71" s="344">
        <f>'Volume adjustments'!L329</f>
        <v>0.53256520183821399</v>
      </c>
      <c r="M71" s="344">
        <f>'Volume adjustments'!M329</f>
        <v>0.53256520183821399</v>
      </c>
      <c r="N71" s="344">
        <f>'Volume adjustments'!N329</f>
        <v>0.53256520183821399</v>
      </c>
      <c r="O71" s="344">
        <f>'Volume adjustments'!O329</f>
        <v>0.32519003293204285</v>
      </c>
      <c r="P71" s="344">
        <f>'Volume adjustments'!P329</f>
        <v>0.26241459087249852</v>
      </c>
      <c r="Q71" s="344">
        <f>'Volume adjustments'!Q329</f>
        <v>0.53256520183821399</v>
      </c>
      <c r="R71" s="344">
        <f>'Volume adjustments'!R329</f>
        <v>0</v>
      </c>
      <c r="S71" s="344">
        <f>'Volume adjustments'!S329</f>
        <v>0</v>
      </c>
      <c r="T71" s="344">
        <f>'Volume adjustments'!T329</f>
        <v>0</v>
      </c>
      <c r="U71" s="344">
        <f>'Volume adjustments'!U329</f>
        <v>0</v>
      </c>
      <c r="V71" s="344">
        <f>'Volume adjustments'!V329</f>
        <v>0</v>
      </c>
      <c r="W71" s="344">
        <f>'Volume adjustments'!W329</f>
        <v>0</v>
      </c>
      <c r="X71" s="344">
        <f>'Volume adjustments'!X329</f>
        <v>0</v>
      </c>
      <c r="Y71" s="344">
        <f>'Volume adjustments'!Y329</f>
        <v>0</v>
      </c>
    </row>
    <row r="72" spans="4:43" x14ac:dyDescent="0.35">
      <c r="E72" s="88"/>
      <c r="F72" s="37" t="s">
        <v>162</v>
      </c>
      <c r="G72" s="37" t="s">
        <v>167</v>
      </c>
      <c r="H72" s="211"/>
      <c r="I72" s="37"/>
      <c r="J72" s="345">
        <f>'Volume adjustments'!J330</f>
        <v>0.53256520183821399</v>
      </c>
      <c r="K72" s="345">
        <f>'Volume adjustments'!K330</f>
        <v>0.53256520183821399</v>
      </c>
      <c r="L72" s="345">
        <f>'Volume adjustments'!L330</f>
        <v>0.53256520183821399</v>
      </c>
      <c r="M72" s="345">
        <f>'Volume adjustments'!M330</f>
        <v>0.53256520183821399</v>
      </c>
      <c r="N72" s="345">
        <f>'Volume adjustments'!N330</f>
        <v>0.53256520183821399</v>
      </c>
      <c r="O72" s="345">
        <f>'Volume adjustments'!O330</f>
        <v>0.32519003293204285</v>
      </c>
      <c r="P72" s="345">
        <f>'Volume adjustments'!P330</f>
        <v>0.26241459087249852</v>
      </c>
      <c r="Q72" s="345">
        <f>'Volume adjustments'!Q330</f>
        <v>0.53256520183821399</v>
      </c>
      <c r="R72" s="345">
        <f>'Volume adjustments'!R330</f>
        <v>0</v>
      </c>
      <c r="S72" s="345">
        <f>'Volume adjustments'!S330</f>
        <v>0</v>
      </c>
      <c r="T72" s="345">
        <f>'Volume adjustments'!T330</f>
        <v>0</v>
      </c>
      <c r="U72" s="345">
        <f>'Volume adjustments'!U330</f>
        <v>0</v>
      </c>
      <c r="V72" s="345">
        <f>'Volume adjustments'!V330</f>
        <v>0</v>
      </c>
      <c r="W72" s="345">
        <f>'Volume adjustments'!W330</f>
        <v>0</v>
      </c>
      <c r="X72" s="345">
        <f>'Volume adjustments'!X330</f>
        <v>0</v>
      </c>
      <c r="Y72" s="345">
        <f>'Volume adjustments'!Y330</f>
        <v>0</v>
      </c>
    </row>
    <row r="73" spans="4:43" x14ac:dyDescent="0.35">
      <c r="E73"/>
    </row>
    <row r="74" spans="4:43" x14ac:dyDescent="0.35">
      <c r="D74"/>
      <c r="E74" s="88" t="s">
        <v>748</v>
      </c>
      <c r="I74" t="s">
        <v>154</v>
      </c>
      <c r="AQ74" t="s">
        <v>428</v>
      </c>
    </row>
    <row r="75" spans="4:43" x14ac:dyDescent="0.35">
      <c r="D75"/>
      <c r="E75" s="88"/>
      <c r="F75" s="23" t="s">
        <v>156</v>
      </c>
      <c r="G75" s="23" t="s">
        <v>167</v>
      </c>
      <c r="H75" s="174"/>
      <c r="I75" s="23"/>
      <c r="J75" s="154">
        <f>INDEX($J57:$Y57,J$54)</f>
        <v>0.29370961868251882</v>
      </c>
      <c r="K75" s="154">
        <f t="shared" ref="K75:AO75" si="0">INDEX($J57:$Y57,K$54)</f>
        <v>0.29370961868251882</v>
      </c>
      <c r="L75" s="154">
        <f t="shared" si="0"/>
        <v>0.29370961868251882</v>
      </c>
      <c r="M75" s="154">
        <f t="shared" si="0"/>
        <v>0.29370961868251882</v>
      </c>
      <c r="N75" s="154">
        <f t="shared" si="0"/>
        <v>0.29370961868251882</v>
      </c>
      <c r="O75" s="154">
        <f t="shared" si="0"/>
        <v>0.29370961868251882</v>
      </c>
      <c r="P75" s="154">
        <f t="shared" si="0"/>
        <v>0.29370961868251882</v>
      </c>
      <c r="Q75" s="154">
        <f t="shared" si="0"/>
        <v>0.29370961868251882</v>
      </c>
      <c r="R75" s="154">
        <f t="shared" si="0"/>
        <v>0.29370961868251882</v>
      </c>
      <c r="S75" s="154">
        <f t="shared" si="0"/>
        <v>0.29370961868251882</v>
      </c>
      <c r="T75" s="154">
        <f t="shared" si="0"/>
        <v>0.29370961868251882</v>
      </c>
      <c r="U75" s="154">
        <f t="shared" si="0"/>
        <v>0.29370961868251882</v>
      </c>
      <c r="V75" s="154">
        <f t="shared" si="0"/>
        <v>0.29370961868251882</v>
      </c>
      <c r="W75" s="154">
        <f t="shared" si="0"/>
        <v>0</v>
      </c>
      <c r="X75" s="154">
        <f t="shared" si="0"/>
        <v>0</v>
      </c>
      <c r="Y75" s="154">
        <f t="shared" si="0"/>
        <v>0</v>
      </c>
      <c r="Z75" s="154">
        <f t="shared" si="0"/>
        <v>0</v>
      </c>
      <c r="AA75" s="154">
        <f t="shared" si="0"/>
        <v>0</v>
      </c>
      <c r="AB75" s="154">
        <f t="shared" si="0"/>
        <v>0</v>
      </c>
      <c r="AC75" s="154">
        <f t="shared" si="0"/>
        <v>0</v>
      </c>
      <c r="AD75" s="154">
        <f t="shared" si="0"/>
        <v>0</v>
      </c>
      <c r="AE75" s="154">
        <f t="shared" si="0"/>
        <v>0</v>
      </c>
      <c r="AF75" s="154">
        <f t="shared" si="0"/>
        <v>0</v>
      </c>
      <c r="AG75" s="154">
        <f t="shared" si="0"/>
        <v>0.29370961868251882</v>
      </c>
      <c r="AH75" s="154">
        <f t="shared" si="0"/>
        <v>0</v>
      </c>
      <c r="AI75" s="154">
        <f t="shared" si="0"/>
        <v>0</v>
      </c>
      <c r="AJ75" s="154">
        <f t="shared" si="0"/>
        <v>0</v>
      </c>
      <c r="AK75" s="154">
        <f t="shared" si="0"/>
        <v>0</v>
      </c>
      <c r="AL75" s="154">
        <f t="shared" si="0"/>
        <v>0</v>
      </c>
      <c r="AM75" s="154">
        <f t="shared" si="0"/>
        <v>0</v>
      </c>
      <c r="AN75" s="154">
        <f t="shared" si="0"/>
        <v>0</v>
      </c>
      <c r="AO75" s="154">
        <f t="shared" si="0"/>
        <v>0</v>
      </c>
    </row>
    <row r="76" spans="4:43" x14ac:dyDescent="0.35">
      <c r="D76"/>
      <c r="E76" s="88"/>
      <c r="F76" t="s">
        <v>157</v>
      </c>
      <c r="G76" t="s">
        <v>167</v>
      </c>
      <c r="H76" s="51"/>
      <c r="J76" s="145">
        <f t="shared" ref="J76:AO76" si="1">INDEX($J58:$Y58,J$54)</f>
        <v>0.29370961868251882</v>
      </c>
      <c r="K76" s="145">
        <f t="shared" si="1"/>
        <v>0.29370961868251882</v>
      </c>
      <c r="L76" s="145">
        <f t="shared" si="1"/>
        <v>0.29370961868251882</v>
      </c>
      <c r="M76" s="145">
        <f t="shared" si="1"/>
        <v>0.29370961868251882</v>
      </c>
      <c r="N76" s="145">
        <f t="shared" si="1"/>
        <v>0.29370961868251882</v>
      </c>
      <c r="O76" s="145">
        <f t="shared" si="1"/>
        <v>0.29370961868251882</v>
      </c>
      <c r="P76" s="145">
        <f t="shared" si="1"/>
        <v>0.29370961868251882</v>
      </c>
      <c r="Q76" s="145">
        <f t="shared" si="1"/>
        <v>0.29370961868251882</v>
      </c>
      <c r="R76" s="145">
        <f t="shared" si="1"/>
        <v>0.29370961868251882</v>
      </c>
      <c r="S76" s="145">
        <f t="shared" si="1"/>
        <v>0.29370961868251882</v>
      </c>
      <c r="T76" s="145">
        <f t="shared" si="1"/>
        <v>0.29370961868251882</v>
      </c>
      <c r="U76" s="145">
        <f t="shared" si="1"/>
        <v>0.29370961868251882</v>
      </c>
      <c r="V76" s="145">
        <f t="shared" si="1"/>
        <v>0.29370961868251882</v>
      </c>
      <c r="W76" s="145">
        <f t="shared" si="1"/>
        <v>0</v>
      </c>
      <c r="X76" s="145">
        <f t="shared" si="1"/>
        <v>0</v>
      </c>
      <c r="Y76" s="145">
        <f t="shared" si="1"/>
        <v>0</v>
      </c>
      <c r="Z76" s="145">
        <f t="shared" si="1"/>
        <v>0</v>
      </c>
      <c r="AA76" s="145">
        <f t="shared" si="1"/>
        <v>0</v>
      </c>
      <c r="AB76" s="145">
        <f t="shared" si="1"/>
        <v>0</v>
      </c>
      <c r="AC76" s="145">
        <f t="shared" si="1"/>
        <v>0</v>
      </c>
      <c r="AD76" s="145">
        <f t="shared" si="1"/>
        <v>0</v>
      </c>
      <c r="AE76" s="145">
        <f t="shared" si="1"/>
        <v>0</v>
      </c>
      <c r="AF76" s="145">
        <f t="shared" si="1"/>
        <v>0</v>
      </c>
      <c r="AG76" s="145">
        <f t="shared" si="1"/>
        <v>0.29370961868251882</v>
      </c>
      <c r="AH76" s="145">
        <f t="shared" si="1"/>
        <v>0</v>
      </c>
      <c r="AI76" s="145">
        <f t="shared" si="1"/>
        <v>0</v>
      </c>
      <c r="AJ76" s="145">
        <f t="shared" si="1"/>
        <v>0</v>
      </c>
      <c r="AK76" s="145">
        <f t="shared" si="1"/>
        <v>0</v>
      </c>
      <c r="AL76" s="145">
        <f t="shared" si="1"/>
        <v>0</v>
      </c>
      <c r="AM76" s="145">
        <f t="shared" si="1"/>
        <v>0</v>
      </c>
      <c r="AN76" s="145">
        <f t="shared" si="1"/>
        <v>0</v>
      </c>
      <c r="AO76" s="145">
        <f t="shared" si="1"/>
        <v>0</v>
      </c>
    </row>
    <row r="77" spans="4:43" x14ac:dyDescent="0.35">
      <c r="D77"/>
      <c r="E77" s="88"/>
      <c r="F77" t="s">
        <v>158</v>
      </c>
      <c r="G77" t="s">
        <v>167</v>
      </c>
      <c r="H77" s="51"/>
      <c r="J77" s="145">
        <f t="shared" ref="J77:AO77" si="2">INDEX($J59:$Y59,J$54)</f>
        <v>0.29370961868251882</v>
      </c>
      <c r="K77" s="145">
        <f t="shared" si="2"/>
        <v>0.29370961868251882</v>
      </c>
      <c r="L77" s="145">
        <f t="shared" si="2"/>
        <v>0.29370961868251882</v>
      </c>
      <c r="M77" s="145">
        <f t="shared" si="2"/>
        <v>0.29370961868251882</v>
      </c>
      <c r="N77" s="145">
        <f t="shared" si="2"/>
        <v>0.29370961868251882</v>
      </c>
      <c r="O77" s="145">
        <f t="shared" si="2"/>
        <v>0.29370961868251882</v>
      </c>
      <c r="P77" s="145">
        <f t="shared" si="2"/>
        <v>0.29370961868251882</v>
      </c>
      <c r="Q77" s="145">
        <f t="shared" si="2"/>
        <v>0.29370961868251882</v>
      </c>
      <c r="R77" s="145">
        <f t="shared" si="2"/>
        <v>0.29370961868251882</v>
      </c>
      <c r="S77" s="145">
        <f t="shared" si="2"/>
        <v>0.29370961868251882</v>
      </c>
      <c r="T77" s="145">
        <f t="shared" si="2"/>
        <v>0.29370961868251882</v>
      </c>
      <c r="U77" s="145">
        <f t="shared" si="2"/>
        <v>0.29370961868251882</v>
      </c>
      <c r="V77" s="145">
        <f t="shared" si="2"/>
        <v>0.29370961868251882</v>
      </c>
      <c r="W77" s="145">
        <f t="shared" si="2"/>
        <v>0</v>
      </c>
      <c r="X77" s="145">
        <f t="shared" si="2"/>
        <v>0</v>
      </c>
      <c r="Y77" s="145">
        <f t="shared" si="2"/>
        <v>0</v>
      </c>
      <c r="Z77" s="145">
        <f t="shared" si="2"/>
        <v>0</v>
      </c>
      <c r="AA77" s="145">
        <f t="shared" si="2"/>
        <v>0</v>
      </c>
      <c r="AB77" s="145">
        <f t="shared" si="2"/>
        <v>0</v>
      </c>
      <c r="AC77" s="145">
        <f t="shared" si="2"/>
        <v>0</v>
      </c>
      <c r="AD77" s="145">
        <f t="shared" si="2"/>
        <v>0</v>
      </c>
      <c r="AE77" s="145">
        <f t="shared" si="2"/>
        <v>0</v>
      </c>
      <c r="AF77" s="145">
        <f t="shared" si="2"/>
        <v>0</v>
      </c>
      <c r="AG77" s="145">
        <f t="shared" si="2"/>
        <v>0.29370961868251882</v>
      </c>
      <c r="AH77" s="145">
        <f t="shared" si="2"/>
        <v>0</v>
      </c>
      <c r="AI77" s="145">
        <f t="shared" si="2"/>
        <v>0</v>
      </c>
      <c r="AJ77" s="145">
        <f t="shared" si="2"/>
        <v>0</v>
      </c>
      <c r="AK77" s="145">
        <f t="shared" si="2"/>
        <v>0</v>
      </c>
      <c r="AL77" s="145">
        <f t="shared" si="2"/>
        <v>0</v>
      </c>
      <c r="AM77" s="145">
        <f t="shared" si="2"/>
        <v>0</v>
      </c>
      <c r="AN77" s="145">
        <f t="shared" si="2"/>
        <v>0</v>
      </c>
      <c r="AO77" s="145">
        <f t="shared" si="2"/>
        <v>0</v>
      </c>
    </row>
    <row r="78" spans="4:43" x14ac:dyDescent="0.35">
      <c r="D78"/>
      <c r="E78" s="88"/>
      <c r="F78" t="s">
        <v>159</v>
      </c>
      <c r="G78" t="s">
        <v>167</v>
      </c>
      <c r="H78" s="51"/>
      <c r="J78" s="145">
        <f t="shared" ref="J78:AO78" si="3">INDEX($J60:$Y60,J$54)</f>
        <v>0.29370961868251882</v>
      </c>
      <c r="K78" s="145">
        <f t="shared" si="3"/>
        <v>0.29370961868251882</v>
      </c>
      <c r="L78" s="145">
        <f t="shared" si="3"/>
        <v>0.29370961868251882</v>
      </c>
      <c r="M78" s="145">
        <f t="shared" si="3"/>
        <v>0.29370961868251882</v>
      </c>
      <c r="N78" s="145">
        <f t="shared" si="3"/>
        <v>0.29370961868251882</v>
      </c>
      <c r="O78" s="145">
        <f t="shared" si="3"/>
        <v>0.29370961868251882</v>
      </c>
      <c r="P78" s="145">
        <f t="shared" si="3"/>
        <v>0.29370961868251882</v>
      </c>
      <c r="Q78" s="145">
        <f t="shared" si="3"/>
        <v>0.29370961868251882</v>
      </c>
      <c r="R78" s="145">
        <f t="shared" si="3"/>
        <v>0.29370961868251882</v>
      </c>
      <c r="S78" s="145">
        <f t="shared" si="3"/>
        <v>0.29370961868251882</v>
      </c>
      <c r="T78" s="145">
        <f t="shared" si="3"/>
        <v>0.29370961868251882</v>
      </c>
      <c r="U78" s="145">
        <f t="shared" si="3"/>
        <v>0.29370961868251882</v>
      </c>
      <c r="V78" s="145">
        <f t="shared" si="3"/>
        <v>0.29370961868251882</v>
      </c>
      <c r="W78" s="145">
        <f t="shared" si="3"/>
        <v>0</v>
      </c>
      <c r="X78" s="145">
        <f t="shared" si="3"/>
        <v>0</v>
      </c>
      <c r="Y78" s="145">
        <f t="shared" si="3"/>
        <v>0</v>
      </c>
      <c r="Z78" s="145">
        <f t="shared" si="3"/>
        <v>0</v>
      </c>
      <c r="AA78" s="145">
        <f t="shared" si="3"/>
        <v>0</v>
      </c>
      <c r="AB78" s="145">
        <f t="shared" si="3"/>
        <v>0</v>
      </c>
      <c r="AC78" s="145">
        <f t="shared" si="3"/>
        <v>0</v>
      </c>
      <c r="AD78" s="145">
        <f t="shared" si="3"/>
        <v>0</v>
      </c>
      <c r="AE78" s="145">
        <f t="shared" si="3"/>
        <v>0</v>
      </c>
      <c r="AF78" s="145">
        <f t="shared" si="3"/>
        <v>0</v>
      </c>
      <c r="AG78" s="145">
        <f t="shared" si="3"/>
        <v>0.29370961868251882</v>
      </c>
      <c r="AH78" s="145">
        <f t="shared" si="3"/>
        <v>1</v>
      </c>
      <c r="AI78" s="145">
        <f t="shared" si="3"/>
        <v>1</v>
      </c>
      <c r="AJ78" s="145">
        <f t="shared" si="3"/>
        <v>1</v>
      </c>
      <c r="AK78" s="145">
        <f t="shared" si="3"/>
        <v>1</v>
      </c>
      <c r="AL78" s="145">
        <f t="shared" si="3"/>
        <v>1</v>
      </c>
      <c r="AM78" s="145">
        <f t="shared" si="3"/>
        <v>1</v>
      </c>
      <c r="AN78" s="145">
        <f t="shared" si="3"/>
        <v>1</v>
      </c>
      <c r="AO78" s="145">
        <f t="shared" si="3"/>
        <v>1</v>
      </c>
    </row>
    <row r="79" spans="4:43" x14ac:dyDescent="0.35">
      <c r="D79"/>
      <c r="E79" s="88"/>
      <c r="F79" t="s">
        <v>160</v>
      </c>
      <c r="G79" t="s">
        <v>167</v>
      </c>
      <c r="H79" s="51"/>
      <c r="J79" s="145">
        <f t="shared" ref="J79:AO79" si="4">INDEX($J61:$Y61,J$54)</f>
        <v>0.29370961868251882</v>
      </c>
      <c r="K79" s="145">
        <f t="shared" si="4"/>
        <v>0.29370961868251882</v>
      </c>
      <c r="L79" s="145">
        <f t="shared" si="4"/>
        <v>0.29370961868251882</v>
      </c>
      <c r="M79" s="145">
        <f t="shared" si="4"/>
        <v>0.29370961868251882</v>
      </c>
      <c r="N79" s="145">
        <f t="shared" si="4"/>
        <v>0.29370961868251882</v>
      </c>
      <c r="O79" s="145">
        <f t="shared" si="4"/>
        <v>0.29370961868251882</v>
      </c>
      <c r="P79" s="145">
        <f t="shared" si="4"/>
        <v>0.29370961868251882</v>
      </c>
      <c r="Q79" s="145">
        <f t="shared" si="4"/>
        <v>0.29370961868251882</v>
      </c>
      <c r="R79" s="145">
        <f t="shared" si="4"/>
        <v>0.29370961868251882</v>
      </c>
      <c r="S79" s="145">
        <f t="shared" si="4"/>
        <v>0.29370961868251882</v>
      </c>
      <c r="T79" s="145">
        <f t="shared" si="4"/>
        <v>0.29370961868251882</v>
      </c>
      <c r="U79" s="145">
        <f t="shared" si="4"/>
        <v>0.29370961868251882</v>
      </c>
      <c r="V79" s="145">
        <f t="shared" si="4"/>
        <v>0.29370961868251882</v>
      </c>
      <c r="W79" s="145">
        <f t="shared" si="4"/>
        <v>0</v>
      </c>
      <c r="X79" s="145">
        <f t="shared" si="4"/>
        <v>0</v>
      </c>
      <c r="Y79" s="145">
        <f t="shared" si="4"/>
        <v>0</v>
      </c>
      <c r="Z79" s="145">
        <f t="shared" si="4"/>
        <v>0</v>
      </c>
      <c r="AA79" s="145">
        <f t="shared" si="4"/>
        <v>0</v>
      </c>
      <c r="AB79" s="145">
        <f t="shared" si="4"/>
        <v>0</v>
      </c>
      <c r="AC79" s="145">
        <f t="shared" si="4"/>
        <v>0</v>
      </c>
      <c r="AD79" s="145">
        <f t="shared" si="4"/>
        <v>0</v>
      </c>
      <c r="AE79" s="145">
        <f t="shared" si="4"/>
        <v>0</v>
      </c>
      <c r="AF79" s="145">
        <f t="shared" si="4"/>
        <v>0</v>
      </c>
      <c r="AG79" s="145">
        <f t="shared" si="4"/>
        <v>0.29370961868251882</v>
      </c>
      <c r="AH79" s="145">
        <f t="shared" si="4"/>
        <v>0</v>
      </c>
      <c r="AI79" s="145">
        <f t="shared" si="4"/>
        <v>0</v>
      </c>
      <c r="AJ79" s="145">
        <f t="shared" si="4"/>
        <v>0</v>
      </c>
      <c r="AK79" s="145">
        <f t="shared" si="4"/>
        <v>0</v>
      </c>
      <c r="AL79" s="145">
        <f t="shared" si="4"/>
        <v>0</v>
      </c>
      <c r="AM79" s="145">
        <f t="shared" si="4"/>
        <v>0</v>
      </c>
      <c r="AN79" s="145">
        <f t="shared" si="4"/>
        <v>0</v>
      </c>
      <c r="AO79" s="145">
        <f t="shared" si="4"/>
        <v>0</v>
      </c>
    </row>
    <row r="80" spans="4:43" x14ac:dyDescent="0.35">
      <c r="D80"/>
      <c r="E80" s="88"/>
      <c r="F80" t="s">
        <v>161</v>
      </c>
      <c r="G80" t="s">
        <v>167</v>
      </c>
      <c r="H80" s="51"/>
      <c r="J80" s="145">
        <f t="shared" ref="J80:AO80" si="5">INDEX($J62:$Y62,J$54)</f>
        <v>0.29370961868251882</v>
      </c>
      <c r="K80" s="145">
        <f t="shared" si="5"/>
        <v>0.29370961868251882</v>
      </c>
      <c r="L80" s="145">
        <f t="shared" si="5"/>
        <v>0.29370961868251882</v>
      </c>
      <c r="M80" s="145">
        <f t="shared" si="5"/>
        <v>0.29370961868251882</v>
      </c>
      <c r="N80" s="145">
        <f t="shared" si="5"/>
        <v>0.29370961868251882</v>
      </c>
      <c r="O80" s="145">
        <f t="shared" si="5"/>
        <v>0.29370961868251882</v>
      </c>
      <c r="P80" s="145">
        <f t="shared" si="5"/>
        <v>0.29370961868251882</v>
      </c>
      <c r="Q80" s="145">
        <f t="shared" si="5"/>
        <v>0.29370961868251882</v>
      </c>
      <c r="R80" s="145">
        <f t="shared" si="5"/>
        <v>0.29370961868251882</v>
      </c>
      <c r="S80" s="145">
        <f t="shared" si="5"/>
        <v>0.29370961868251882</v>
      </c>
      <c r="T80" s="145">
        <f t="shared" si="5"/>
        <v>0.29370961868251882</v>
      </c>
      <c r="U80" s="145">
        <f t="shared" si="5"/>
        <v>0.29370961868251882</v>
      </c>
      <c r="V80" s="145">
        <f t="shared" si="5"/>
        <v>0.29370961868251882</v>
      </c>
      <c r="W80" s="145">
        <f t="shared" si="5"/>
        <v>0</v>
      </c>
      <c r="X80" s="145">
        <f t="shared" si="5"/>
        <v>0</v>
      </c>
      <c r="Y80" s="145">
        <f t="shared" si="5"/>
        <v>0</v>
      </c>
      <c r="Z80" s="145">
        <f t="shared" si="5"/>
        <v>0</v>
      </c>
      <c r="AA80" s="145">
        <f t="shared" si="5"/>
        <v>0</v>
      </c>
      <c r="AB80" s="145">
        <f t="shared" si="5"/>
        <v>0</v>
      </c>
      <c r="AC80" s="145">
        <f t="shared" si="5"/>
        <v>0</v>
      </c>
      <c r="AD80" s="145">
        <f t="shared" si="5"/>
        <v>0</v>
      </c>
      <c r="AE80" s="145">
        <f t="shared" si="5"/>
        <v>0</v>
      </c>
      <c r="AF80" s="145">
        <f t="shared" si="5"/>
        <v>0</v>
      </c>
      <c r="AG80" s="145">
        <f t="shared" si="5"/>
        <v>0.29370961868251882</v>
      </c>
      <c r="AH80" s="145">
        <f t="shared" si="5"/>
        <v>0</v>
      </c>
      <c r="AI80" s="145">
        <f t="shared" si="5"/>
        <v>0</v>
      </c>
      <c r="AJ80" s="145">
        <f t="shared" si="5"/>
        <v>0</v>
      </c>
      <c r="AK80" s="145">
        <f t="shared" si="5"/>
        <v>0</v>
      </c>
      <c r="AL80" s="145">
        <f t="shared" si="5"/>
        <v>0</v>
      </c>
      <c r="AM80" s="145">
        <f t="shared" si="5"/>
        <v>0</v>
      </c>
      <c r="AN80" s="145">
        <f t="shared" si="5"/>
        <v>0</v>
      </c>
      <c r="AO80" s="145">
        <f t="shared" si="5"/>
        <v>0</v>
      </c>
    </row>
    <row r="81" spans="3:43" x14ac:dyDescent="0.35">
      <c r="D81"/>
      <c r="E81" s="88"/>
      <c r="F81" s="37" t="s">
        <v>162</v>
      </c>
      <c r="G81" s="37" t="s">
        <v>167</v>
      </c>
      <c r="H81" s="211"/>
      <c r="I81" s="37"/>
      <c r="J81" s="155">
        <f t="shared" ref="J81:AO81" si="6">INDEX($J63:$Y63,J$54)</f>
        <v>0.29370961868251882</v>
      </c>
      <c r="K81" s="155">
        <f t="shared" si="6"/>
        <v>0.29370961868251882</v>
      </c>
      <c r="L81" s="155">
        <f t="shared" si="6"/>
        <v>0.29370961868251882</v>
      </c>
      <c r="M81" s="155">
        <f t="shared" si="6"/>
        <v>0.29370961868251882</v>
      </c>
      <c r="N81" s="155">
        <f t="shared" si="6"/>
        <v>0.29370961868251882</v>
      </c>
      <c r="O81" s="155">
        <f t="shared" si="6"/>
        <v>0.29370961868251882</v>
      </c>
      <c r="P81" s="155">
        <f t="shared" si="6"/>
        <v>0.29370961868251882</v>
      </c>
      <c r="Q81" s="155">
        <f t="shared" si="6"/>
        <v>0.29370961868251882</v>
      </c>
      <c r="R81" s="155">
        <f t="shared" si="6"/>
        <v>0.29370961868251882</v>
      </c>
      <c r="S81" s="155">
        <f t="shared" si="6"/>
        <v>0.29370961868251882</v>
      </c>
      <c r="T81" s="155">
        <f t="shared" si="6"/>
        <v>0.29370961868251882</v>
      </c>
      <c r="U81" s="155">
        <f t="shared" si="6"/>
        <v>0.29370961868251882</v>
      </c>
      <c r="V81" s="155">
        <f t="shared" si="6"/>
        <v>0.29370961868251882</v>
      </c>
      <c r="W81" s="155">
        <f t="shared" si="6"/>
        <v>0</v>
      </c>
      <c r="X81" s="155">
        <f t="shared" si="6"/>
        <v>0</v>
      </c>
      <c r="Y81" s="155">
        <f t="shared" si="6"/>
        <v>0</v>
      </c>
      <c r="Z81" s="155">
        <f t="shared" si="6"/>
        <v>0</v>
      </c>
      <c r="AA81" s="155">
        <f t="shared" si="6"/>
        <v>0</v>
      </c>
      <c r="AB81" s="155">
        <f t="shared" si="6"/>
        <v>0</v>
      </c>
      <c r="AC81" s="155">
        <f t="shared" si="6"/>
        <v>0</v>
      </c>
      <c r="AD81" s="155">
        <f t="shared" si="6"/>
        <v>0</v>
      </c>
      <c r="AE81" s="155">
        <f t="shared" si="6"/>
        <v>0</v>
      </c>
      <c r="AF81" s="155">
        <f t="shared" si="6"/>
        <v>0</v>
      </c>
      <c r="AG81" s="155">
        <f t="shared" si="6"/>
        <v>0.29370961868251882</v>
      </c>
      <c r="AH81" s="155">
        <f t="shared" si="6"/>
        <v>0</v>
      </c>
      <c r="AI81" s="155">
        <f t="shared" si="6"/>
        <v>0</v>
      </c>
      <c r="AJ81" s="155">
        <f t="shared" si="6"/>
        <v>0</v>
      </c>
      <c r="AK81" s="155">
        <f t="shared" si="6"/>
        <v>0</v>
      </c>
      <c r="AL81" s="155">
        <f t="shared" si="6"/>
        <v>0</v>
      </c>
      <c r="AM81" s="155">
        <f t="shared" si="6"/>
        <v>0</v>
      </c>
      <c r="AN81" s="155">
        <f t="shared" si="6"/>
        <v>0</v>
      </c>
      <c r="AO81" s="155">
        <f t="shared" si="6"/>
        <v>0</v>
      </c>
    </row>
    <row r="82" spans="3:43" x14ac:dyDescent="0.35">
      <c r="D82" s="88"/>
      <c r="E82"/>
    </row>
    <row r="83" spans="3:43" x14ac:dyDescent="0.35">
      <c r="D83"/>
      <c r="E83" s="88" t="s">
        <v>749</v>
      </c>
      <c r="I83" t="s">
        <v>154</v>
      </c>
      <c r="AQ83" t="s">
        <v>428</v>
      </c>
    </row>
    <row r="84" spans="3:43" x14ac:dyDescent="0.35">
      <c r="D84"/>
      <c r="E84" s="88"/>
      <c r="F84" s="23" t="s">
        <v>156</v>
      </c>
      <c r="G84" s="23" t="s">
        <v>167</v>
      </c>
      <c r="H84" s="174"/>
      <c r="I84" s="23"/>
      <c r="J84" s="154">
        <f>INDEX($J66:$Y66,J$54)</f>
        <v>0.53256520183821399</v>
      </c>
      <c r="K84" s="154">
        <f t="shared" ref="K84:AO84" si="7">INDEX($J66:$Y66,K$54)</f>
        <v>0.53256520183821399</v>
      </c>
      <c r="L84" s="154">
        <f t="shared" si="7"/>
        <v>0.53256520183821399</v>
      </c>
      <c r="M84" s="154">
        <f t="shared" si="7"/>
        <v>0.53256520183821399</v>
      </c>
      <c r="N84" s="154">
        <f t="shared" si="7"/>
        <v>0.53256520183821399</v>
      </c>
      <c r="O84" s="154">
        <f t="shared" si="7"/>
        <v>0.53256520183821399</v>
      </c>
      <c r="P84" s="154">
        <f t="shared" si="7"/>
        <v>0.53256520183821399</v>
      </c>
      <c r="Q84" s="154">
        <f t="shared" si="7"/>
        <v>0.53256520183821399</v>
      </c>
      <c r="R84" s="154">
        <f t="shared" si="7"/>
        <v>0.53256520183821399</v>
      </c>
      <c r="S84" s="154">
        <f t="shared" si="7"/>
        <v>0.53256520183821399</v>
      </c>
      <c r="T84" s="154">
        <f t="shared" si="7"/>
        <v>0.53256520183821399</v>
      </c>
      <c r="U84" s="154">
        <f t="shared" si="7"/>
        <v>0.53256520183821399</v>
      </c>
      <c r="V84" s="154">
        <f t="shared" si="7"/>
        <v>0.53256520183821399</v>
      </c>
      <c r="W84" s="154">
        <f t="shared" si="7"/>
        <v>0.32519003293204285</v>
      </c>
      <c r="X84" s="154">
        <f t="shared" si="7"/>
        <v>0.32519003293204285</v>
      </c>
      <c r="Y84" s="154">
        <f t="shared" si="7"/>
        <v>0.32519003293204285</v>
      </c>
      <c r="Z84" s="154">
        <f t="shared" si="7"/>
        <v>0.32519003293204285</v>
      </c>
      <c r="AA84" s="154">
        <f t="shared" si="7"/>
        <v>0.32519003293204285</v>
      </c>
      <c r="AB84" s="154">
        <f t="shared" si="7"/>
        <v>0.26241459087249852</v>
      </c>
      <c r="AC84" s="154">
        <f t="shared" si="7"/>
        <v>0.26241459087249852</v>
      </c>
      <c r="AD84" s="154">
        <f t="shared" si="7"/>
        <v>0.26241459087249852</v>
      </c>
      <c r="AE84" s="154">
        <f t="shared" si="7"/>
        <v>0.26241459087249852</v>
      </c>
      <c r="AF84" s="154">
        <f t="shared" si="7"/>
        <v>0.26241459087249852</v>
      </c>
      <c r="AG84" s="154">
        <f t="shared" si="7"/>
        <v>0.53256520183821399</v>
      </c>
      <c r="AH84" s="154">
        <f t="shared" si="7"/>
        <v>0</v>
      </c>
      <c r="AI84" s="154">
        <f t="shared" si="7"/>
        <v>0</v>
      </c>
      <c r="AJ84" s="154">
        <f t="shared" si="7"/>
        <v>0</v>
      </c>
      <c r="AK84" s="154">
        <f t="shared" si="7"/>
        <v>0</v>
      </c>
      <c r="AL84" s="154">
        <f t="shared" si="7"/>
        <v>0</v>
      </c>
      <c r="AM84" s="154">
        <f t="shared" si="7"/>
        <v>0</v>
      </c>
      <c r="AN84" s="154">
        <f t="shared" si="7"/>
        <v>0</v>
      </c>
      <c r="AO84" s="154">
        <f t="shared" si="7"/>
        <v>0</v>
      </c>
    </row>
    <row r="85" spans="3:43" x14ac:dyDescent="0.35">
      <c r="D85"/>
      <c r="E85" s="88"/>
      <c r="F85" t="s">
        <v>157</v>
      </c>
      <c r="G85" t="s">
        <v>167</v>
      </c>
      <c r="H85" s="51"/>
      <c r="J85" s="145">
        <f t="shared" ref="J85:AO85" si="8">INDEX($J67:$Y67,J$54)</f>
        <v>0.53256520183821399</v>
      </c>
      <c r="K85" s="145">
        <f t="shared" si="8"/>
        <v>0.53256520183821399</v>
      </c>
      <c r="L85" s="145">
        <f t="shared" si="8"/>
        <v>0.53256520183821399</v>
      </c>
      <c r="M85" s="145">
        <f t="shared" si="8"/>
        <v>0.53256520183821399</v>
      </c>
      <c r="N85" s="145">
        <f t="shared" si="8"/>
        <v>0.53256520183821399</v>
      </c>
      <c r="O85" s="145">
        <f t="shared" si="8"/>
        <v>0.53256520183821399</v>
      </c>
      <c r="P85" s="145">
        <f t="shared" si="8"/>
        <v>0.53256520183821399</v>
      </c>
      <c r="Q85" s="145">
        <f t="shared" si="8"/>
        <v>0.53256520183821399</v>
      </c>
      <c r="R85" s="145">
        <f t="shared" si="8"/>
        <v>0.53256520183821399</v>
      </c>
      <c r="S85" s="145">
        <f t="shared" si="8"/>
        <v>0.53256520183821399</v>
      </c>
      <c r="T85" s="145">
        <f t="shared" si="8"/>
        <v>0.53256520183821399</v>
      </c>
      <c r="U85" s="145">
        <f t="shared" si="8"/>
        <v>0.53256520183821399</v>
      </c>
      <c r="V85" s="145">
        <f t="shared" si="8"/>
        <v>0.53256520183821399</v>
      </c>
      <c r="W85" s="145">
        <f t="shared" si="8"/>
        <v>0.32519003293204285</v>
      </c>
      <c r="X85" s="145">
        <f t="shared" si="8"/>
        <v>0.32519003293204285</v>
      </c>
      <c r="Y85" s="145">
        <f t="shared" si="8"/>
        <v>0.32519003293204285</v>
      </c>
      <c r="Z85" s="145">
        <f t="shared" si="8"/>
        <v>0.32519003293204285</v>
      </c>
      <c r="AA85" s="145">
        <f t="shared" si="8"/>
        <v>0.32519003293204285</v>
      </c>
      <c r="AB85" s="145">
        <f t="shared" si="8"/>
        <v>0.26241459087249852</v>
      </c>
      <c r="AC85" s="145">
        <f t="shared" si="8"/>
        <v>0.26241459087249852</v>
      </c>
      <c r="AD85" s="145">
        <f t="shared" si="8"/>
        <v>0.26241459087249852</v>
      </c>
      <c r="AE85" s="145">
        <f t="shared" si="8"/>
        <v>0.26241459087249852</v>
      </c>
      <c r="AF85" s="145">
        <f t="shared" si="8"/>
        <v>0.26241459087249852</v>
      </c>
      <c r="AG85" s="145">
        <f t="shared" si="8"/>
        <v>0.53256520183821399</v>
      </c>
      <c r="AH85" s="145">
        <f t="shared" si="8"/>
        <v>0</v>
      </c>
      <c r="AI85" s="145">
        <f t="shared" si="8"/>
        <v>0</v>
      </c>
      <c r="AJ85" s="145">
        <f t="shared" si="8"/>
        <v>0</v>
      </c>
      <c r="AK85" s="145">
        <f t="shared" si="8"/>
        <v>0</v>
      </c>
      <c r="AL85" s="145">
        <f t="shared" si="8"/>
        <v>0</v>
      </c>
      <c r="AM85" s="145">
        <f t="shared" si="8"/>
        <v>0</v>
      </c>
      <c r="AN85" s="145">
        <f t="shared" si="8"/>
        <v>0</v>
      </c>
      <c r="AO85" s="145">
        <f t="shared" si="8"/>
        <v>0</v>
      </c>
    </row>
    <row r="86" spans="3:43" x14ac:dyDescent="0.35">
      <c r="D86"/>
      <c r="E86" s="88"/>
      <c r="F86" t="s">
        <v>158</v>
      </c>
      <c r="G86" t="s">
        <v>167</v>
      </c>
      <c r="H86" s="51"/>
      <c r="J86" s="145">
        <f t="shared" ref="J86:AO86" si="9">INDEX($J68:$Y68,J$54)</f>
        <v>0.53256520183821399</v>
      </c>
      <c r="K86" s="145">
        <f t="shared" si="9"/>
        <v>0.53256520183821399</v>
      </c>
      <c r="L86" s="145">
        <f t="shared" si="9"/>
        <v>0.53256520183821399</v>
      </c>
      <c r="M86" s="145">
        <f t="shared" si="9"/>
        <v>0.53256520183821399</v>
      </c>
      <c r="N86" s="145">
        <f t="shared" si="9"/>
        <v>0.53256520183821399</v>
      </c>
      <c r="O86" s="145">
        <f t="shared" si="9"/>
        <v>0.53256520183821399</v>
      </c>
      <c r="P86" s="145">
        <f t="shared" si="9"/>
        <v>0.53256520183821399</v>
      </c>
      <c r="Q86" s="145">
        <f t="shared" si="9"/>
        <v>0.53256520183821399</v>
      </c>
      <c r="R86" s="145">
        <f t="shared" si="9"/>
        <v>0.53256520183821399</v>
      </c>
      <c r="S86" s="145">
        <f t="shared" si="9"/>
        <v>0.53256520183821399</v>
      </c>
      <c r="T86" s="145">
        <f t="shared" si="9"/>
        <v>0.53256520183821399</v>
      </c>
      <c r="U86" s="145">
        <f t="shared" si="9"/>
        <v>0.53256520183821399</v>
      </c>
      <c r="V86" s="145">
        <f t="shared" si="9"/>
        <v>0.53256520183821399</v>
      </c>
      <c r="W86" s="145">
        <f t="shared" si="9"/>
        <v>0.32519003293204285</v>
      </c>
      <c r="X86" s="145">
        <f t="shared" si="9"/>
        <v>0.32519003293204285</v>
      </c>
      <c r="Y86" s="145">
        <f t="shared" si="9"/>
        <v>0.32519003293204285</v>
      </c>
      <c r="Z86" s="145">
        <f t="shared" si="9"/>
        <v>0.32519003293204285</v>
      </c>
      <c r="AA86" s="145">
        <f t="shared" si="9"/>
        <v>0.32519003293204285</v>
      </c>
      <c r="AB86" s="145">
        <f t="shared" si="9"/>
        <v>0.26241459087249852</v>
      </c>
      <c r="AC86" s="145">
        <f t="shared" si="9"/>
        <v>0.26241459087249852</v>
      </c>
      <c r="AD86" s="145">
        <f t="shared" si="9"/>
        <v>0.26241459087249852</v>
      </c>
      <c r="AE86" s="145">
        <f t="shared" si="9"/>
        <v>0.26241459087249852</v>
      </c>
      <c r="AF86" s="145">
        <f t="shared" si="9"/>
        <v>0.26241459087249852</v>
      </c>
      <c r="AG86" s="145">
        <f t="shared" si="9"/>
        <v>0.53256520183821399</v>
      </c>
      <c r="AH86" s="145">
        <f t="shared" si="9"/>
        <v>0</v>
      </c>
      <c r="AI86" s="145">
        <f t="shared" si="9"/>
        <v>0</v>
      </c>
      <c r="AJ86" s="145">
        <f t="shared" si="9"/>
        <v>0</v>
      </c>
      <c r="AK86" s="145">
        <f t="shared" si="9"/>
        <v>0</v>
      </c>
      <c r="AL86" s="145">
        <f t="shared" si="9"/>
        <v>0</v>
      </c>
      <c r="AM86" s="145">
        <f t="shared" si="9"/>
        <v>0</v>
      </c>
      <c r="AN86" s="145">
        <f t="shared" si="9"/>
        <v>0</v>
      </c>
      <c r="AO86" s="145">
        <f t="shared" si="9"/>
        <v>0</v>
      </c>
    </row>
    <row r="87" spans="3:43" x14ac:dyDescent="0.35">
      <c r="D87"/>
      <c r="E87" s="88"/>
      <c r="F87" t="s">
        <v>159</v>
      </c>
      <c r="G87" t="s">
        <v>167</v>
      </c>
      <c r="H87" s="51"/>
      <c r="J87" s="145">
        <f t="shared" ref="J87:AO87" si="10">INDEX($J69:$Y69,J$54)</f>
        <v>0.53256520183821399</v>
      </c>
      <c r="K87" s="145">
        <f t="shared" si="10"/>
        <v>0.53256520183821399</v>
      </c>
      <c r="L87" s="145">
        <f t="shared" si="10"/>
        <v>0.53256520183821399</v>
      </c>
      <c r="M87" s="145">
        <f t="shared" si="10"/>
        <v>0.53256520183821399</v>
      </c>
      <c r="N87" s="145">
        <f t="shared" si="10"/>
        <v>0.53256520183821399</v>
      </c>
      <c r="O87" s="145">
        <f t="shared" si="10"/>
        <v>0.53256520183821399</v>
      </c>
      <c r="P87" s="145">
        <f t="shared" si="10"/>
        <v>0.53256520183821399</v>
      </c>
      <c r="Q87" s="145">
        <f t="shared" si="10"/>
        <v>0.53256520183821399</v>
      </c>
      <c r="R87" s="145">
        <f t="shared" si="10"/>
        <v>0.53256520183821399</v>
      </c>
      <c r="S87" s="145">
        <f t="shared" si="10"/>
        <v>0.53256520183821399</v>
      </c>
      <c r="T87" s="145">
        <f t="shared" si="10"/>
        <v>0.53256520183821399</v>
      </c>
      <c r="U87" s="145">
        <f t="shared" si="10"/>
        <v>0.53256520183821399</v>
      </c>
      <c r="V87" s="145">
        <f t="shared" si="10"/>
        <v>0.53256520183821399</v>
      </c>
      <c r="W87" s="145">
        <f t="shared" si="10"/>
        <v>0.32519003293204285</v>
      </c>
      <c r="X87" s="145">
        <f t="shared" si="10"/>
        <v>0.32519003293204285</v>
      </c>
      <c r="Y87" s="145">
        <f t="shared" si="10"/>
        <v>0.32519003293204285</v>
      </c>
      <c r="Z87" s="145">
        <f t="shared" si="10"/>
        <v>0.32519003293204285</v>
      </c>
      <c r="AA87" s="145">
        <f t="shared" si="10"/>
        <v>0.32519003293204285</v>
      </c>
      <c r="AB87" s="145">
        <f t="shared" si="10"/>
        <v>0.26241459087249852</v>
      </c>
      <c r="AC87" s="145">
        <f t="shared" si="10"/>
        <v>0.26241459087249852</v>
      </c>
      <c r="AD87" s="145">
        <f t="shared" si="10"/>
        <v>0.26241459087249852</v>
      </c>
      <c r="AE87" s="145">
        <f t="shared" si="10"/>
        <v>0.26241459087249852</v>
      </c>
      <c r="AF87" s="145">
        <f t="shared" si="10"/>
        <v>0.26241459087249852</v>
      </c>
      <c r="AG87" s="145">
        <f t="shared" si="10"/>
        <v>0.53256520183821399</v>
      </c>
      <c r="AH87" s="145">
        <f t="shared" si="10"/>
        <v>1</v>
      </c>
      <c r="AI87" s="145">
        <f t="shared" si="10"/>
        <v>1</v>
      </c>
      <c r="AJ87" s="145">
        <f t="shared" si="10"/>
        <v>1</v>
      </c>
      <c r="AK87" s="145">
        <f t="shared" si="10"/>
        <v>1</v>
      </c>
      <c r="AL87" s="145">
        <f t="shared" si="10"/>
        <v>1</v>
      </c>
      <c r="AM87" s="145">
        <f t="shared" si="10"/>
        <v>1</v>
      </c>
      <c r="AN87" s="145">
        <f t="shared" si="10"/>
        <v>1</v>
      </c>
      <c r="AO87" s="145">
        <f t="shared" si="10"/>
        <v>1</v>
      </c>
    </row>
    <row r="88" spans="3:43" x14ac:dyDescent="0.35">
      <c r="D88"/>
      <c r="E88" s="88"/>
      <c r="F88" t="s">
        <v>160</v>
      </c>
      <c r="G88" t="s">
        <v>167</v>
      </c>
      <c r="H88" s="51"/>
      <c r="J88" s="145">
        <f t="shared" ref="J88:AO88" si="11">INDEX($J70:$Y70,J$54)</f>
        <v>0.53256520183821399</v>
      </c>
      <c r="K88" s="145">
        <f t="shared" si="11"/>
        <v>0.53256520183821399</v>
      </c>
      <c r="L88" s="145">
        <f t="shared" si="11"/>
        <v>0.53256520183821399</v>
      </c>
      <c r="M88" s="145">
        <f t="shared" si="11"/>
        <v>0.53256520183821399</v>
      </c>
      <c r="N88" s="145">
        <f t="shared" si="11"/>
        <v>0.53256520183821399</v>
      </c>
      <c r="O88" s="145">
        <f t="shared" si="11"/>
        <v>0.53256520183821399</v>
      </c>
      <c r="P88" s="145">
        <f t="shared" si="11"/>
        <v>0.53256520183821399</v>
      </c>
      <c r="Q88" s="145">
        <f t="shared" si="11"/>
        <v>0.53256520183821399</v>
      </c>
      <c r="R88" s="145">
        <f t="shared" si="11"/>
        <v>0.53256520183821399</v>
      </c>
      <c r="S88" s="145">
        <f t="shared" si="11"/>
        <v>0.53256520183821399</v>
      </c>
      <c r="T88" s="145">
        <f t="shared" si="11"/>
        <v>0.53256520183821399</v>
      </c>
      <c r="U88" s="145">
        <f t="shared" si="11"/>
        <v>0.53256520183821399</v>
      </c>
      <c r="V88" s="145">
        <f t="shared" si="11"/>
        <v>0.53256520183821399</v>
      </c>
      <c r="W88" s="145">
        <f t="shared" si="11"/>
        <v>0.32519003293204285</v>
      </c>
      <c r="X88" s="145">
        <f t="shared" si="11"/>
        <v>0.32519003293204285</v>
      </c>
      <c r="Y88" s="145">
        <f t="shared" si="11"/>
        <v>0.32519003293204285</v>
      </c>
      <c r="Z88" s="145">
        <f t="shared" si="11"/>
        <v>0.32519003293204285</v>
      </c>
      <c r="AA88" s="145">
        <f t="shared" si="11"/>
        <v>0.32519003293204285</v>
      </c>
      <c r="AB88" s="145">
        <f t="shared" si="11"/>
        <v>0.26241459087249852</v>
      </c>
      <c r="AC88" s="145">
        <f t="shared" si="11"/>
        <v>0.26241459087249852</v>
      </c>
      <c r="AD88" s="145">
        <f t="shared" si="11"/>
        <v>0.26241459087249852</v>
      </c>
      <c r="AE88" s="145">
        <f t="shared" si="11"/>
        <v>0.26241459087249852</v>
      </c>
      <c r="AF88" s="145">
        <f t="shared" si="11"/>
        <v>0.26241459087249852</v>
      </c>
      <c r="AG88" s="145">
        <f t="shared" si="11"/>
        <v>0.53256520183821399</v>
      </c>
      <c r="AH88" s="145">
        <f t="shared" si="11"/>
        <v>0</v>
      </c>
      <c r="AI88" s="145">
        <f t="shared" si="11"/>
        <v>0</v>
      </c>
      <c r="AJ88" s="145">
        <f t="shared" si="11"/>
        <v>0</v>
      </c>
      <c r="AK88" s="145">
        <f t="shared" si="11"/>
        <v>0</v>
      </c>
      <c r="AL88" s="145">
        <f t="shared" si="11"/>
        <v>0</v>
      </c>
      <c r="AM88" s="145">
        <f t="shared" si="11"/>
        <v>0</v>
      </c>
      <c r="AN88" s="145">
        <f t="shared" si="11"/>
        <v>0</v>
      </c>
      <c r="AO88" s="145">
        <f t="shared" si="11"/>
        <v>0</v>
      </c>
    </row>
    <row r="89" spans="3:43" x14ac:dyDescent="0.35">
      <c r="D89"/>
      <c r="E89" s="88"/>
      <c r="F89" t="s">
        <v>161</v>
      </c>
      <c r="G89" t="s">
        <v>167</v>
      </c>
      <c r="H89" s="51"/>
      <c r="J89" s="145">
        <f t="shared" ref="J89:AO89" si="12">INDEX($J71:$Y71,J$54)</f>
        <v>0.53256520183821399</v>
      </c>
      <c r="K89" s="145">
        <f t="shared" si="12"/>
        <v>0.53256520183821399</v>
      </c>
      <c r="L89" s="145">
        <f t="shared" si="12"/>
        <v>0.53256520183821399</v>
      </c>
      <c r="M89" s="145">
        <f t="shared" si="12"/>
        <v>0.53256520183821399</v>
      </c>
      <c r="N89" s="145">
        <f t="shared" si="12"/>
        <v>0.53256520183821399</v>
      </c>
      <c r="O89" s="145">
        <f t="shared" si="12"/>
        <v>0.53256520183821399</v>
      </c>
      <c r="P89" s="145">
        <f t="shared" si="12"/>
        <v>0.53256520183821399</v>
      </c>
      <c r="Q89" s="145">
        <f t="shared" si="12"/>
        <v>0.53256520183821399</v>
      </c>
      <c r="R89" s="145">
        <f t="shared" si="12"/>
        <v>0.53256520183821399</v>
      </c>
      <c r="S89" s="145">
        <f t="shared" si="12"/>
        <v>0.53256520183821399</v>
      </c>
      <c r="T89" s="145">
        <f t="shared" si="12"/>
        <v>0.53256520183821399</v>
      </c>
      <c r="U89" s="145">
        <f t="shared" si="12"/>
        <v>0.53256520183821399</v>
      </c>
      <c r="V89" s="145">
        <f t="shared" si="12"/>
        <v>0.53256520183821399</v>
      </c>
      <c r="W89" s="145">
        <f t="shared" si="12"/>
        <v>0.32519003293204285</v>
      </c>
      <c r="X89" s="145">
        <f t="shared" si="12"/>
        <v>0.32519003293204285</v>
      </c>
      <c r="Y89" s="145">
        <f t="shared" si="12"/>
        <v>0.32519003293204285</v>
      </c>
      <c r="Z89" s="145">
        <f t="shared" si="12"/>
        <v>0.32519003293204285</v>
      </c>
      <c r="AA89" s="145">
        <f t="shared" si="12"/>
        <v>0.32519003293204285</v>
      </c>
      <c r="AB89" s="145">
        <f t="shared" si="12"/>
        <v>0.26241459087249852</v>
      </c>
      <c r="AC89" s="145">
        <f t="shared" si="12"/>
        <v>0.26241459087249852</v>
      </c>
      <c r="AD89" s="145">
        <f t="shared" si="12"/>
        <v>0.26241459087249852</v>
      </c>
      <c r="AE89" s="145">
        <f t="shared" si="12"/>
        <v>0.26241459087249852</v>
      </c>
      <c r="AF89" s="145">
        <f t="shared" si="12"/>
        <v>0.26241459087249852</v>
      </c>
      <c r="AG89" s="145">
        <f t="shared" si="12"/>
        <v>0.53256520183821399</v>
      </c>
      <c r="AH89" s="145">
        <f t="shared" si="12"/>
        <v>0</v>
      </c>
      <c r="AI89" s="145">
        <f t="shared" si="12"/>
        <v>0</v>
      </c>
      <c r="AJ89" s="145">
        <f t="shared" si="12"/>
        <v>0</v>
      </c>
      <c r="AK89" s="145">
        <f t="shared" si="12"/>
        <v>0</v>
      </c>
      <c r="AL89" s="145">
        <f t="shared" si="12"/>
        <v>0</v>
      </c>
      <c r="AM89" s="145">
        <f t="shared" si="12"/>
        <v>0</v>
      </c>
      <c r="AN89" s="145">
        <f t="shared" si="12"/>
        <v>0</v>
      </c>
      <c r="AO89" s="145">
        <f t="shared" si="12"/>
        <v>0</v>
      </c>
    </row>
    <row r="90" spans="3:43" x14ac:dyDescent="0.35">
      <c r="D90"/>
      <c r="E90" s="88"/>
      <c r="F90" s="37" t="s">
        <v>162</v>
      </c>
      <c r="G90" s="37" t="s">
        <v>167</v>
      </c>
      <c r="H90" s="211"/>
      <c r="I90" s="37"/>
      <c r="J90" s="155">
        <f t="shared" ref="J90:AO90" si="13">INDEX($J72:$Y72,J$54)</f>
        <v>0.53256520183821399</v>
      </c>
      <c r="K90" s="155">
        <f t="shared" si="13"/>
        <v>0.53256520183821399</v>
      </c>
      <c r="L90" s="155">
        <f t="shared" si="13"/>
        <v>0.53256520183821399</v>
      </c>
      <c r="M90" s="155">
        <f t="shared" si="13"/>
        <v>0.53256520183821399</v>
      </c>
      <c r="N90" s="155">
        <f t="shared" si="13"/>
        <v>0.53256520183821399</v>
      </c>
      <c r="O90" s="155">
        <f t="shared" si="13"/>
        <v>0.53256520183821399</v>
      </c>
      <c r="P90" s="155">
        <f t="shared" si="13"/>
        <v>0.53256520183821399</v>
      </c>
      <c r="Q90" s="155">
        <f t="shared" si="13"/>
        <v>0.53256520183821399</v>
      </c>
      <c r="R90" s="155">
        <f t="shared" si="13"/>
        <v>0.53256520183821399</v>
      </c>
      <c r="S90" s="155">
        <f t="shared" si="13"/>
        <v>0.53256520183821399</v>
      </c>
      <c r="T90" s="155">
        <f t="shared" si="13"/>
        <v>0.53256520183821399</v>
      </c>
      <c r="U90" s="155">
        <f t="shared" si="13"/>
        <v>0.53256520183821399</v>
      </c>
      <c r="V90" s="155">
        <f t="shared" si="13"/>
        <v>0.53256520183821399</v>
      </c>
      <c r="W90" s="155">
        <f t="shared" si="13"/>
        <v>0.32519003293204285</v>
      </c>
      <c r="X90" s="155">
        <f t="shared" si="13"/>
        <v>0.32519003293204285</v>
      </c>
      <c r="Y90" s="155">
        <f t="shared" si="13"/>
        <v>0.32519003293204285</v>
      </c>
      <c r="Z90" s="155">
        <f t="shared" si="13"/>
        <v>0.32519003293204285</v>
      </c>
      <c r="AA90" s="155">
        <f t="shared" si="13"/>
        <v>0.32519003293204285</v>
      </c>
      <c r="AB90" s="155">
        <f t="shared" si="13"/>
        <v>0.26241459087249852</v>
      </c>
      <c r="AC90" s="155">
        <f t="shared" si="13"/>
        <v>0.26241459087249852</v>
      </c>
      <c r="AD90" s="155">
        <f t="shared" si="13"/>
        <v>0.26241459087249852</v>
      </c>
      <c r="AE90" s="155">
        <f t="shared" si="13"/>
        <v>0.26241459087249852</v>
      </c>
      <c r="AF90" s="155">
        <f t="shared" si="13"/>
        <v>0.26241459087249852</v>
      </c>
      <c r="AG90" s="155">
        <f t="shared" si="13"/>
        <v>0.53256520183821399</v>
      </c>
      <c r="AH90" s="155">
        <f t="shared" si="13"/>
        <v>0</v>
      </c>
      <c r="AI90" s="155">
        <f t="shared" si="13"/>
        <v>0</v>
      </c>
      <c r="AJ90" s="155">
        <f t="shared" si="13"/>
        <v>0</v>
      </c>
      <c r="AK90" s="155">
        <f t="shared" si="13"/>
        <v>0</v>
      </c>
      <c r="AL90" s="155">
        <f t="shared" si="13"/>
        <v>0</v>
      </c>
      <c r="AM90" s="155">
        <f t="shared" si="13"/>
        <v>0</v>
      </c>
      <c r="AN90" s="155">
        <f t="shared" si="13"/>
        <v>0</v>
      </c>
      <c r="AO90" s="155">
        <f t="shared" si="13"/>
        <v>0</v>
      </c>
    </row>
    <row r="91" spans="3:43" x14ac:dyDescent="0.35">
      <c r="D91" s="88"/>
      <c r="E91"/>
    </row>
    <row r="92" spans="3:43" x14ac:dyDescent="0.35">
      <c r="C92" s="31" t="str">
        <f ca="1">INDEX('Version control'!$H$34:$H$57,MATCH($A$1,'Version control'!$F$34:$F$57,0),1)&amp;"-E: Decimal places for rounding"</f>
        <v>Section 117-E: Decimal places for rounding</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4" spans="3:43" x14ac:dyDescent="0.35">
      <c r="E94" s="32" t="s">
        <v>750</v>
      </c>
      <c r="I94" t="s">
        <v>154</v>
      </c>
      <c r="AQ94" t="s">
        <v>155</v>
      </c>
    </row>
    <row r="95" spans="3:43" x14ac:dyDescent="0.35">
      <c r="C95" s="88"/>
      <c r="F95" s="23" t="s">
        <v>156</v>
      </c>
      <c r="G95" s="23" t="s">
        <v>149</v>
      </c>
      <c r="H95" s="174">
        <f>'Fixed inputs'!H25</f>
        <v>3</v>
      </c>
    </row>
    <row r="96" spans="3:43" x14ac:dyDescent="0.35">
      <c r="C96" s="88"/>
      <c r="F96" t="s">
        <v>157</v>
      </c>
      <c r="G96" t="s">
        <v>149</v>
      </c>
      <c r="H96" s="51">
        <f>'Fixed inputs'!H26</f>
        <v>3</v>
      </c>
    </row>
    <row r="97" spans="2:43" x14ac:dyDescent="0.35">
      <c r="C97" s="88"/>
      <c r="F97" t="s">
        <v>158</v>
      </c>
      <c r="G97" t="s">
        <v>149</v>
      </c>
      <c r="H97" s="51">
        <f>'Fixed inputs'!H27</f>
        <v>3</v>
      </c>
    </row>
    <row r="98" spans="2:43" x14ac:dyDescent="0.35">
      <c r="C98" s="88"/>
      <c r="F98" t="s">
        <v>159</v>
      </c>
      <c r="G98" t="s">
        <v>149</v>
      </c>
      <c r="H98" s="51">
        <f>'Fixed inputs'!H28</f>
        <v>2</v>
      </c>
    </row>
    <row r="99" spans="2:43" x14ac:dyDescent="0.35">
      <c r="C99" s="88"/>
      <c r="F99" t="s">
        <v>160</v>
      </c>
      <c r="G99" t="s">
        <v>149</v>
      </c>
      <c r="H99" s="51">
        <f>'Fixed inputs'!H29</f>
        <v>2</v>
      </c>
    </row>
    <row r="100" spans="2:43" x14ac:dyDescent="0.35">
      <c r="C100" s="88"/>
      <c r="F100" t="s">
        <v>161</v>
      </c>
      <c r="G100" t="s">
        <v>149</v>
      </c>
      <c r="H100" s="51">
        <f>'Fixed inputs'!H30</f>
        <v>2</v>
      </c>
    </row>
    <row r="101" spans="2:43" x14ac:dyDescent="0.35">
      <c r="C101" s="88"/>
      <c r="F101" s="37" t="s">
        <v>162</v>
      </c>
      <c r="G101" s="37" t="s">
        <v>149</v>
      </c>
      <c r="H101" s="211">
        <f>'Fixed inputs'!H31</f>
        <v>3</v>
      </c>
    </row>
    <row r="102" spans="2:43" x14ac:dyDescent="0.35">
      <c r="C102" s="88"/>
    </row>
    <row r="103" spans="2:43" x14ac:dyDescent="0.35">
      <c r="B103" s="30" t="s">
        <v>751</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5" spans="2:43" x14ac:dyDescent="0.35">
      <c r="C105" s="29" t="s">
        <v>752</v>
      </c>
    </row>
    <row r="107" spans="2:43" x14ac:dyDescent="0.35">
      <c r="C107" s="31" t="str">
        <f ca="1">INDEX('Version control'!$H$34:$H$57,MATCH($A$1,'Version control'!$F$34:$F$57,0),1)&amp;"-F: Tariff forecast, post-revenue matching"</f>
        <v>Section 117-F: Tariff forecast, post-revenue matching</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9" spans="2:43" x14ac:dyDescent="0.35">
      <c r="D109"/>
      <c r="E109" s="32" t="s">
        <v>753</v>
      </c>
      <c r="F109" s="32"/>
    </row>
    <row r="110" spans="2:43" x14ac:dyDescent="0.35">
      <c r="D110"/>
      <c r="E110" s="88"/>
      <c r="F110" s="23" t="s">
        <v>156</v>
      </c>
      <c r="G110" s="23" t="s">
        <v>269</v>
      </c>
      <c r="H110" s="278"/>
      <c r="I110" s="266"/>
      <c r="J110" s="281">
        <f xml:space="preserve"> J20 + J32</f>
        <v>8.7578868905519336</v>
      </c>
      <c r="K110" s="281">
        <f t="shared" ref="K110:AO110" si="14" xml:space="preserve"> K20 + K32</f>
        <v>8.7578868905519336</v>
      </c>
      <c r="L110" s="281">
        <f t="shared" si="14"/>
        <v>10.049981004930144</v>
      </c>
      <c r="M110" s="281">
        <f t="shared" si="14"/>
        <v>10.049981004930144</v>
      </c>
      <c r="N110" s="281">
        <f t="shared" si="14"/>
        <v>10.049981004930144</v>
      </c>
      <c r="O110" s="281">
        <f t="shared" si="14"/>
        <v>10.049981004930144</v>
      </c>
      <c r="P110" s="281">
        <f t="shared" si="14"/>
        <v>10.049981004930144</v>
      </c>
      <c r="Q110" s="281">
        <f t="shared" si="14"/>
        <v>10.049981004930144</v>
      </c>
      <c r="R110" s="281">
        <f t="shared" si="14"/>
        <v>7.2439851323805975</v>
      </c>
      <c r="S110" s="281">
        <f t="shared" si="14"/>
        <v>7.2439851323805975</v>
      </c>
      <c r="T110" s="281">
        <f t="shared" si="14"/>
        <v>7.2439851323805975</v>
      </c>
      <c r="U110" s="281">
        <f t="shared" si="14"/>
        <v>7.2439851323805975</v>
      </c>
      <c r="V110" s="281">
        <f t="shared" si="14"/>
        <v>7.2439851323805975</v>
      </c>
      <c r="W110" s="281">
        <f t="shared" si="14"/>
        <v>3.7452920159350667</v>
      </c>
      <c r="X110" s="281">
        <f t="shared" si="14"/>
        <v>3.7452920159350667</v>
      </c>
      <c r="Y110" s="281">
        <f t="shared" si="14"/>
        <v>3.7452920159350667</v>
      </c>
      <c r="Z110" s="281">
        <f t="shared" si="14"/>
        <v>3.7452920159350667</v>
      </c>
      <c r="AA110" s="281">
        <f t="shared" si="14"/>
        <v>3.7452920159350667</v>
      </c>
      <c r="AB110" s="281">
        <f t="shared" si="14"/>
        <v>2.6202382291421182</v>
      </c>
      <c r="AC110" s="281">
        <f t="shared" si="14"/>
        <v>2.6202382291421182</v>
      </c>
      <c r="AD110" s="281">
        <f t="shared" si="14"/>
        <v>2.6202382291421182</v>
      </c>
      <c r="AE110" s="281">
        <f t="shared" si="14"/>
        <v>2.6202382291421182</v>
      </c>
      <c r="AF110" s="281">
        <f t="shared" si="14"/>
        <v>2.6202382291421182</v>
      </c>
      <c r="AG110" s="281">
        <f t="shared" si="14"/>
        <v>17.413948956425816</v>
      </c>
      <c r="AH110" s="281">
        <f t="shared" si="14"/>
        <v>-6.7703858572355928</v>
      </c>
      <c r="AI110" s="281">
        <f t="shared" si="14"/>
        <v>-6.0634483873977167</v>
      </c>
      <c r="AJ110" s="281">
        <f t="shared" si="14"/>
        <v>-6.7703858572355928</v>
      </c>
      <c r="AK110" s="281">
        <f t="shared" si="14"/>
        <v>-6.7703858572355928</v>
      </c>
      <c r="AL110" s="281">
        <f t="shared" si="14"/>
        <v>-6.0634483873977167</v>
      </c>
      <c r="AM110" s="281">
        <f t="shared" si="14"/>
        <v>-6.0634483873977167</v>
      </c>
      <c r="AN110" s="281">
        <f t="shared" si="14"/>
        <v>-3.3990502940098173</v>
      </c>
      <c r="AO110" s="281">
        <f t="shared" si="14"/>
        <v>-3.3990502940098173</v>
      </c>
      <c r="AP110" s="267"/>
      <c r="AQ110" s="267"/>
    </row>
    <row r="111" spans="2:43" x14ac:dyDescent="0.35">
      <c r="D111"/>
      <c r="E111" s="88"/>
      <c r="F111" t="s">
        <v>157</v>
      </c>
      <c r="G111" t="s">
        <v>269</v>
      </c>
      <c r="H111" s="279"/>
      <c r="I111" s="267"/>
      <c r="J111" s="282">
        <f t="shared" ref="J111" si="15" xml:space="preserve"> J21 + J33</f>
        <v>1.8206397762951982</v>
      </c>
      <c r="K111" s="282">
        <f t="shared" ref="K111:AO111" si="16" xml:space="preserve"> K21 + K33</f>
        <v>1.8206397762951982</v>
      </c>
      <c r="L111" s="282">
        <f t="shared" si="16"/>
        <v>2.089247714346067</v>
      </c>
      <c r="M111" s="282">
        <f t="shared" si="16"/>
        <v>2.089247714346067</v>
      </c>
      <c r="N111" s="282">
        <f t="shared" si="16"/>
        <v>2.089247714346067</v>
      </c>
      <c r="O111" s="282">
        <f t="shared" si="16"/>
        <v>2.089247714346067</v>
      </c>
      <c r="P111" s="282">
        <f t="shared" si="16"/>
        <v>2.089247714346067</v>
      </c>
      <c r="Q111" s="282">
        <f t="shared" si="16"/>
        <v>2.089247714346067</v>
      </c>
      <c r="R111" s="282">
        <f t="shared" si="16"/>
        <v>1.4663018872883582</v>
      </c>
      <c r="S111" s="282">
        <f t="shared" si="16"/>
        <v>1.4663018872883582</v>
      </c>
      <c r="T111" s="282">
        <f t="shared" si="16"/>
        <v>1.4663018872883582</v>
      </c>
      <c r="U111" s="282">
        <f t="shared" si="16"/>
        <v>1.4663018872883582</v>
      </c>
      <c r="V111" s="282">
        <f t="shared" si="16"/>
        <v>1.4663018872883582</v>
      </c>
      <c r="W111" s="282">
        <f t="shared" si="16"/>
        <v>0.67783233276690069</v>
      </c>
      <c r="X111" s="282">
        <f t="shared" si="16"/>
        <v>0.67783233276690069</v>
      </c>
      <c r="Y111" s="282">
        <f t="shared" si="16"/>
        <v>0.67783233276690069</v>
      </c>
      <c r="Z111" s="282">
        <f t="shared" si="16"/>
        <v>0.67783233276690069</v>
      </c>
      <c r="AA111" s="282">
        <f t="shared" si="16"/>
        <v>0.67783233276690069</v>
      </c>
      <c r="AB111" s="282">
        <f t="shared" si="16"/>
        <v>0.45455208805206132</v>
      </c>
      <c r="AC111" s="282">
        <f t="shared" si="16"/>
        <v>0.45455208805206132</v>
      </c>
      <c r="AD111" s="282">
        <f t="shared" si="16"/>
        <v>0.45455208805206132</v>
      </c>
      <c r="AE111" s="282">
        <f t="shared" si="16"/>
        <v>0.45455208805206132</v>
      </c>
      <c r="AF111" s="282">
        <f t="shared" si="16"/>
        <v>0.45455208805206132</v>
      </c>
      <c r="AG111" s="282">
        <f t="shared" si="16"/>
        <v>4.8899293298786448</v>
      </c>
      <c r="AH111" s="282">
        <f t="shared" si="16"/>
        <v>-1.4074666579500381</v>
      </c>
      <c r="AI111" s="282">
        <f t="shared" si="16"/>
        <v>-1.2460008567520371</v>
      </c>
      <c r="AJ111" s="282">
        <f t="shared" si="16"/>
        <v>-1.4074666579500381</v>
      </c>
      <c r="AK111" s="282">
        <f t="shared" si="16"/>
        <v>-1.4074666579500381</v>
      </c>
      <c r="AL111" s="282">
        <f t="shared" si="16"/>
        <v>-1.2460008567520371</v>
      </c>
      <c r="AM111" s="282">
        <f t="shared" si="16"/>
        <v>-1.2460008567520371</v>
      </c>
      <c r="AN111" s="282">
        <f t="shared" si="16"/>
        <v>-0.61509915250322988</v>
      </c>
      <c r="AO111" s="282">
        <f t="shared" si="16"/>
        <v>-0.61509915250322988</v>
      </c>
      <c r="AP111" s="267"/>
      <c r="AQ111" s="267"/>
    </row>
    <row r="112" spans="2:43" x14ac:dyDescent="0.35">
      <c r="D112"/>
      <c r="E112" s="88"/>
      <c r="F112" t="s">
        <v>158</v>
      </c>
      <c r="G112" t="s">
        <v>269</v>
      </c>
      <c r="H112" s="279"/>
      <c r="I112" s="267"/>
      <c r="J112" s="282">
        <f t="shared" ref="J112" si="17" xml:space="preserve"> J22 + J34</f>
        <v>0.63370675863757786</v>
      </c>
      <c r="K112" s="282">
        <f t="shared" ref="K112:AO112" si="18" xml:space="preserve"> K22 + K34</f>
        <v>0.63370675863757786</v>
      </c>
      <c r="L112" s="282">
        <f t="shared" si="18"/>
        <v>0.72720063259485002</v>
      </c>
      <c r="M112" s="282">
        <f t="shared" si="18"/>
        <v>0.72720063259485002</v>
      </c>
      <c r="N112" s="282">
        <f t="shared" si="18"/>
        <v>0.72720063259485002</v>
      </c>
      <c r="O112" s="282">
        <f t="shared" si="18"/>
        <v>0.72720063259485002</v>
      </c>
      <c r="P112" s="282">
        <f t="shared" si="18"/>
        <v>0.72720063259485002</v>
      </c>
      <c r="Q112" s="282">
        <f t="shared" si="18"/>
        <v>0.72720063259485002</v>
      </c>
      <c r="R112" s="282">
        <f t="shared" si="18"/>
        <v>0.51447803021364991</v>
      </c>
      <c r="S112" s="282">
        <f t="shared" si="18"/>
        <v>0.51447803021364991</v>
      </c>
      <c r="T112" s="282">
        <f t="shared" si="18"/>
        <v>0.51447803021364991</v>
      </c>
      <c r="U112" s="282">
        <f t="shared" si="18"/>
        <v>0.51447803021364991</v>
      </c>
      <c r="V112" s="282">
        <f t="shared" si="18"/>
        <v>0.51447803021364991</v>
      </c>
      <c r="W112" s="282">
        <f t="shared" si="18"/>
        <v>0.24637179623668531</v>
      </c>
      <c r="X112" s="282">
        <f t="shared" si="18"/>
        <v>0.24637179623668531</v>
      </c>
      <c r="Y112" s="282">
        <f t="shared" si="18"/>
        <v>0.24637179623668531</v>
      </c>
      <c r="Z112" s="282">
        <f t="shared" si="18"/>
        <v>0.24637179623668531</v>
      </c>
      <c r="AA112" s="282">
        <f t="shared" si="18"/>
        <v>0.24637179623668531</v>
      </c>
      <c r="AB112" s="282">
        <f t="shared" si="18"/>
        <v>0.1764399618541925</v>
      </c>
      <c r="AC112" s="282">
        <f t="shared" si="18"/>
        <v>0.1764399618541925</v>
      </c>
      <c r="AD112" s="282">
        <f t="shared" si="18"/>
        <v>0.1764399618541925</v>
      </c>
      <c r="AE112" s="282">
        <f t="shared" si="18"/>
        <v>0.1764399618541925</v>
      </c>
      <c r="AF112" s="282">
        <f t="shared" si="18"/>
        <v>0.1764399618541925</v>
      </c>
      <c r="AG112" s="282">
        <f t="shared" si="18"/>
        <v>3.9227644188572572</v>
      </c>
      <c r="AH112" s="282">
        <f t="shared" si="18"/>
        <v>-0.48989434665375964</v>
      </c>
      <c r="AI112" s="282">
        <f t="shared" si="18"/>
        <v>-0.43519597745109795</v>
      </c>
      <c r="AJ112" s="282">
        <f t="shared" si="18"/>
        <v>-0.48989434665375964</v>
      </c>
      <c r="AK112" s="282">
        <f t="shared" si="18"/>
        <v>-0.48989434665375964</v>
      </c>
      <c r="AL112" s="282">
        <f t="shared" si="18"/>
        <v>-0.43519597745109795</v>
      </c>
      <c r="AM112" s="282">
        <f t="shared" si="18"/>
        <v>-0.43519597745109795</v>
      </c>
      <c r="AN112" s="282">
        <f t="shared" si="18"/>
        <v>-0.22360981889651921</v>
      </c>
      <c r="AO112" s="282">
        <f t="shared" si="18"/>
        <v>-0.22360981889651921</v>
      </c>
      <c r="AP112" s="267"/>
      <c r="AQ112" s="267"/>
    </row>
    <row r="113" spans="3:43" x14ac:dyDescent="0.35">
      <c r="D113"/>
      <c r="E113" s="88"/>
      <c r="F113" t="s">
        <v>159</v>
      </c>
      <c r="G113" t="s">
        <v>270</v>
      </c>
      <c r="H113" s="51"/>
      <c r="J113" s="98">
        <f t="shared" ref="J113" si="19" xml:space="preserve"> J23 + J35</f>
        <v>17.585645820730385</v>
      </c>
      <c r="K113" s="98">
        <f t="shared" ref="K113:AO113" si="20" xml:space="preserve"> K23 + K35</f>
        <v>0</v>
      </c>
      <c r="L113" s="98">
        <f t="shared" si="20"/>
        <v>10.32111579724789</v>
      </c>
      <c r="M113" s="98">
        <f t="shared" si="20"/>
        <v>13.329446230569367</v>
      </c>
      <c r="N113" s="98">
        <f t="shared" si="20"/>
        <v>28.122847123270674</v>
      </c>
      <c r="O113" s="98">
        <f t="shared" si="20"/>
        <v>54.249443278200239</v>
      </c>
      <c r="P113" s="98">
        <f t="shared" si="20"/>
        <v>154.05507235314738</v>
      </c>
      <c r="Q113" s="98">
        <f t="shared" si="20"/>
        <v>0</v>
      </c>
      <c r="R113" s="98">
        <f t="shared" si="20"/>
        <v>27.1234520849282</v>
      </c>
      <c r="S113" s="98">
        <f t="shared" si="20"/>
        <v>253.28359988951397</v>
      </c>
      <c r="T113" s="98">
        <f t="shared" si="20"/>
        <v>452.98104946796718</v>
      </c>
      <c r="U113" s="98">
        <f t="shared" si="20"/>
        <v>736.88115153175158</v>
      </c>
      <c r="V113" s="98">
        <f t="shared" si="20"/>
        <v>1686.611470600626</v>
      </c>
      <c r="W113" s="98">
        <f t="shared" si="20"/>
        <v>63.777155343839667</v>
      </c>
      <c r="X113" s="98">
        <f t="shared" si="20"/>
        <v>289.93730314842549</v>
      </c>
      <c r="Y113" s="98">
        <f t="shared" si="20"/>
        <v>489.63475272687879</v>
      </c>
      <c r="Z113" s="98">
        <f t="shared" si="20"/>
        <v>773.53485479066308</v>
      </c>
      <c r="AA113" s="98">
        <f t="shared" si="20"/>
        <v>1723.2651738595375</v>
      </c>
      <c r="AB113" s="98">
        <f t="shared" si="20"/>
        <v>322.05936254955475</v>
      </c>
      <c r="AC113" s="98">
        <f t="shared" si="20"/>
        <v>741.570658506266</v>
      </c>
      <c r="AD113" s="98">
        <f t="shared" si="20"/>
        <v>3586.6225378850922</v>
      </c>
      <c r="AE113" s="98">
        <f t="shared" si="20"/>
        <v>7343.8657827830029</v>
      </c>
      <c r="AF113" s="98">
        <f t="shared" si="20"/>
        <v>15742.624501707158</v>
      </c>
      <c r="AG113" s="98">
        <f t="shared" si="20"/>
        <v>0</v>
      </c>
      <c r="AH113" s="98">
        <f t="shared" si="20"/>
        <v>0</v>
      </c>
      <c r="AI113" s="98">
        <f t="shared" si="20"/>
        <v>0</v>
      </c>
      <c r="AJ113" s="98">
        <f t="shared" si="20"/>
        <v>0</v>
      </c>
      <c r="AK113" s="98">
        <f t="shared" si="20"/>
        <v>0</v>
      </c>
      <c r="AL113" s="98">
        <f t="shared" si="20"/>
        <v>0</v>
      </c>
      <c r="AM113" s="98">
        <f t="shared" si="20"/>
        <v>0</v>
      </c>
      <c r="AN113" s="98">
        <f t="shared" si="20"/>
        <v>526.69511172822524</v>
      </c>
      <c r="AO113" s="98">
        <f t="shared" si="20"/>
        <v>526.69511172822524</v>
      </c>
    </row>
    <row r="114" spans="3:43" x14ac:dyDescent="0.35">
      <c r="D114"/>
      <c r="E114" s="88"/>
      <c r="F114" t="s">
        <v>160</v>
      </c>
      <c r="G114" t="s">
        <v>271</v>
      </c>
      <c r="H114" s="51"/>
      <c r="J114" s="98">
        <f t="shared" ref="J114" si="21" xml:space="preserve"> J24 + J36</f>
        <v>0</v>
      </c>
      <c r="K114" s="98">
        <f t="shared" ref="K114:AO114" si="22" xml:space="preserve"> K24 + K36</f>
        <v>0</v>
      </c>
      <c r="L114" s="98">
        <f t="shared" si="22"/>
        <v>0</v>
      </c>
      <c r="M114" s="98">
        <f t="shared" si="22"/>
        <v>0</v>
      </c>
      <c r="N114" s="98">
        <f t="shared" si="22"/>
        <v>0</v>
      </c>
      <c r="O114" s="98">
        <f t="shared" si="22"/>
        <v>0</v>
      </c>
      <c r="P114" s="98">
        <f t="shared" si="22"/>
        <v>0</v>
      </c>
      <c r="Q114" s="98">
        <f t="shared" si="22"/>
        <v>0</v>
      </c>
      <c r="R114" s="98">
        <f t="shared" si="22"/>
        <v>5.4456927810994635</v>
      </c>
      <c r="S114" s="98">
        <f t="shared" si="22"/>
        <v>5.4456927810994635</v>
      </c>
      <c r="T114" s="98">
        <f t="shared" si="22"/>
        <v>5.4456927810994635</v>
      </c>
      <c r="U114" s="98">
        <f t="shared" si="22"/>
        <v>5.4456927810994635</v>
      </c>
      <c r="V114" s="98">
        <f t="shared" si="22"/>
        <v>5.4456927810994635</v>
      </c>
      <c r="W114" s="98">
        <f t="shared" si="22"/>
        <v>8.6286268818898275</v>
      </c>
      <c r="X114" s="98">
        <f t="shared" si="22"/>
        <v>8.6286268818898275</v>
      </c>
      <c r="Y114" s="98">
        <f t="shared" si="22"/>
        <v>8.6286268818898275</v>
      </c>
      <c r="Z114" s="98">
        <f t="shared" si="22"/>
        <v>8.6286268818898275</v>
      </c>
      <c r="AA114" s="98">
        <f t="shared" si="22"/>
        <v>8.6286268818898275</v>
      </c>
      <c r="AB114" s="98">
        <f t="shared" si="22"/>
        <v>11.66095176944162</v>
      </c>
      <c r="AC114" s="98">
        <f t="shared" si="22"/>
        <v>11.66095176944162</v>
      </c>
      <c r="AD114" s="98">
        <f t="shared" si="22"/>
        <v>11.66095176944162</v>
      </c>
      <c r="AE114" s="98">
        <f t="shared" si="22"/>
        <v>11.66095176944162</v>
      </c>
      <c r="AF114" s="98">
        <f t="shared" si="22"/>
        <v>11.66095176944162</v>
      </c>
      <c r="AG114" s="98">
        <f t="shared" si="22"/>
        <v>0</v>
      </c>
      <c r="AH114" s="98">
        <f t="shared" si="22"/>
        <v>0</v>
      </c>
      <c r="AI114" s="98">
        <f t="shared" si="22"/>
        <v>0</v>
      </c>
      <c r="AJ114" s="98">
        <f t="shared" si="22"/>
        <v>0</v>
      </c>
      <c r="AK114" s="98">
        <f t="shared" si="22"/>
        <v>0</v>
      </c>
      <c r="AL114" s="98">
        <f t="shared" si="22"/>
        <v>0</v>
      </c>
      <c r="AM114" s="98">
        <f t="shared" si="22"/>
        <v>0</v>
      </c>
      <c r="AN114" s="98">
        <f t="shared" si="22"/>
        <v>0</v>
      </c>
      <c r="AO114" s="98">
        <f t="shared" si="22"/>
        <v>0</v>
      </c>
    </row>
    <row r="115" spans="3:43" x14ac:dyDescent="0.35">
      <c r="D115"/>
      <c r="E115" s="88"/>
      <c r="F115" t="s">
        <v>161</v>
      </c>
      <c r="G115" t="s">
        <v>271</v>
      </c>
      <c r="H115" s="51"/>
      <c r="J115" s="98">
        <f t="shared" ref="J115" si="23" xml:space="preserve"> J25 + J37</f>
        <v>0</v>
      </c>
      <c r="K115" s="98">
        <f t="shared" ref="K115:AO115" si="24" xml:space="preserve"> K25 + K37</f>
        <v>0</v>
      </c>
      <c r="L115" s="98">
        <f t="shared" si="24"/>
        <v>0</v>
      </c>
      <c r="M115" s="98">
        <f t="shared" si="24"/>
        <v>0</v>
      </c>
      <c r="N115" s="98">
        <f t="shared" si="24"/>
        <v>0</v>
      </c>
      <c r="O115" s="98">
        <f t="shared" si="24"/>
        <v>0</v>
      </c>
      <c r="P115" s="98">
        <f t="shared" si="24"/>
        <v>0</v>
      </c>
      <c r="Q115" s="98">
        <f t="shared" si="24"/>
        <v>0</v>
      </c>
      <c r="R115" s="98">
        <f t="shared" si="24"/>
        <v>9.5225717204209275</v>
      </c>
      <c r="S115" s="98">
        <f t="shared" si="24"/>
        <v>9.5225717204209275</v>
      </c>
      <c r="T115" s="98">
        <f t="shared" si="24"/>
        <v>9.5225717204209275</v>
      </c>
      <c r="U115" s="98">
        <f t="shared" si="24"/>
        <v>9.5225717204209275</v>
      </c>
      <c r="V115" s="98">
        <f t="shared" si="24"/>
        <v>9.5225717204209275</v>
      </c>
      <c r="W115" s="98">
        <f t="shared" si="24"/>
        <v>11.683618977303782</v>
      </c>
      <c r="X115" s="98">
        <f t="shared" si="24"/>
        <v>11.683618977303782</v>
      </c>
      <c r="Y115" s="98">
        <f t="shared" si="24"/>
        <v>11.683618977303782</v>
      </c>
      <c r="Z115" s="98">
        <f t="shared" si="24"/>
        <v>11.683618977303782</v>
      </c>
      <c r="AA115" s="98">
        <f t="shared" si="24"/>
        <v>11.683618977303782</v>
      </c>
      <c r="AB115" s="98">
        <f t="shared" si="24"/>
        <v>13.569478191552264</v>
      </c>
      <c r="AC115" s="98">
        <f t="shared" si="24"/>
        <v>13.569478191552264</v>
      </c>
      <c r="AD115" s="98">
        <f t="shared" si="24"/>
        <v>13.569478191552264</v>
      </c>
      <c r="AE115" s="98">
        <f t="shared" si="24"/>
        <v>13.569478191552264</v>
      </c>
      <c r="AF115" s="98">
        <f t="shared" si="24"/>
        <v>13.569478191552264</v>
      </c>
      <c r="AG115" s="98">
        <f t="shared" si="24"/>
        <v>0</v>
      </c>
      <c r="AH115" s="98">
        <f t="shared" si="24"/>
        <v>0</v>
      </c>
      <c r="AI115" s="98">
        <f t="shared" si="24"/>
        <v>0</v>
      </c>
      <c r="AJ115" s="98">
        <f t="shared" si="24"/>
        <v>0</v>
      </c>
      <c r="AK115" s="98">
        <f t="shared" si="24"/>
        <v>0</v>
      </c>
      <c r="AL115" s="98">
        <f t="shared" si="24"/>
        <v>0</v>
      </c>
      <c r="AM115" s="98">
        <f t="shared" si="24"/>
        <v>0</v>
      </c>
      <c r="AN115" s="98">
        <f t="shared" si="24"/>
        <v>0</v>
      </c>
      <c r="AO115" s="98">
        <f t="shared" si="24"/>
        <v>0</v>
      </c>
    </row>
    <row r="116" spans="3:43" x14ac:dyDescent="0.35">
      <c r="D116"/>
      <c r="E116" s="88"/>
      <c r="F116" s="37" t="s">
        <v>162</v>
      </c>
      <c r="G116" s="37" t="s">
        <v>272</v>
      </c>
      <c r="H116" s="283"/>
      <c r="I116" s="269"/>
      <c r="J116" s="284">
        <f t="shared" ref="J116" si="25" xml:space="preserve"> J26 + J38</f>
        <v>0</v>
      </c>
      <c r="K116" s="284">
        <f t="shared" ref="K116:AO116" si="26" xml:space="preserve"> K26 + K38</f>
        <v>0</v>
      </c>
      <c r="L116" s="284">
        <f t="shared" si="26"/>
        <v>0</v>
      </c>
      <c r="M116" s="284">
        <f t="shared" si="26"/>
        <v>0</v>
      </c>
      <c r="N116" s="284">
        <f t="shared" si="26"/>
        <v>0</v>
      </c>
      <c r="O116" s="284">
        <f t="shared" si="26"/>
        <v>0</v>
      </c>
      <c r="P116" s="284">
        <f t="shared" si="26"/>
        <v>0</v>
      </c>
      <c r="Q116" s="284">
        <f t="shared" si="26"/>
        <v>0</v>
      </c>
      <c r="R116" s="284">
        <f t="shared" si="26"/>
        <v>0.29016585626188895</v>
      </c>
      <c r="S116" s="284">
        <f t="shared" si="26"/>
        <v>0.29016585626188895</v>
      </c>
      <c r="T116" s="284">
        <f t="shared" si="26"/>
        <v>0.29016585626188895</v>
      </c>
      <c r="U116" s="284">
        <f t="shared" si="26"/>
        <v>0.29016585626188895</v>
      </c>
      <c r="V116" s="284">
        <f t="shared" si="26"/>
        <v>0.29016585626188895</v>
      </c>
      <c r="W116" s="284">
        <f t="shared" si="26"/>
        <v>0.13734796865901858</v>
      </c>
      <c r="X116" s="284">
        <f t="shared" si="26"/>
        <v>0.13734796865901858</v>
      </c>
      <c r="Y116" s="284">
        <f t="shared" si="26"/>
        <v>0.13734796865901858</v>
      </c>
      <c r="Z116" s="284">
        <f t="shared" si="26"/>
        <v>0.13734796865901858</v>
      </c>
      <c r="AA116" s="284">
        <f t="shared" si="26"/>
        <v>0.13734796865901858</v>
      </c>
      <c r="AB116" s="284">
        <f t="shared" si="26"/>
        <v>9.3179203276517297E-2</v>
      </c>
      <c r="AC116" s="284">
        <f t="shared" si="26"/>
        <v>9.3179203276517297E-2</v>
      </c>
      <c r="AD116" s="284">
        <f t="shared" si="26"/>
        <v>9.3179203276517297E-2</v>
      </c>
      <c r="AE116" s="284">
        <f t="shared" si="26"/>
        <v>9.3179203276517297E-2</v>
      </c>
      <c r="AF116" s="284">
        <f t="shared" si="26"/>
        <v>9.3179203276517297E-2</v>
      </c>
      <c r="AG116" s="284">
        <f t="shared" si="26"/>
        <v>0</v>
      </c>
      <c r="AH116" s="284">
        <f t="shared" si="26"/>
        <v>0</v>
      </c>
      <c r="AI116" s="284">
        <f t="shared" si="26"/>
        <v>0</v>
      </c>
      <c r="AJ116" s="284">
        <f t="shared" si="26"/>
        <v>0.28408916936135709</v>
      </c>
      <c r="AK116" s="284">
        <f t="shared" si="26"/>
        <v>0</v>
      </c>
      <c r="AL116" s="284">
        <f t="shared" si="26"/>
        <v>0.23757355377153469</v>
      </c>
      <c r="AM116" s="284">
        <f t="shared" si="26"/>
        <v>0</v>
      </c>
      <c r="AN116" s="284">
        <f t="shared" si="26"/>
        <v>0.21638006796957138</v>
      </c>
      <c r="AO116" s="284">
        <f t="shared" si="26"/>
        <v>0</v>
      </c>
      <c r="AP116" s="267"/>
      <c r="AQ116" s="267"/>
    </row>
    <row r="117" spans="3:43" x14ac:dyDescent="0.35">
      <c r="D117" s="32"/>
      <c r="E117"/>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3:43" x14ac:dyDescent="0.35">
      <c r="C118" s="31" t="str">
        <f ca="1">INDEX('Version control'!$H$34:$H$57,MATCH($A$1,'Version control'!$F$34:$F$57,0),1)&amp;"-G: Tariff forecast, post-adders &amp; discounting"</f>
        <v>Section 117-G: Tariff forecast, post-adders &amp; discounting</v>
      </c>
      <c r="D118" s="31"/>
      <c r="E118" s="31"/>
      <c r="F118" s="31"/>
      <c r="G118" s="31"/>
      <c r="H118" s="31"/>
      <c r="I118" s="31"/>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31"/>
      <c r="AQ118" s="31"/>
    </row>
    <row r="119" spans="3:43" x14ac:dyDescent="0.35">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row>
    <row r="120" spans="3:43" x14ac:dyDescent="0.35">
      <c r="E120" s="32" t="s">
        <v>890</v>
      </c>
      <c r="F120" s="32"/>
      <c r="I120" t="s">
        <v>154</v>
      </c>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Q120" t="s">
        <v>899</v>
      </c>
    </row>
    <row r="121" spans="3:43" x14ac:dyDescent="0.35">
      <c r="E121" s="88"/>
      <c r="F121" s="23" t="s">
        <v>156</v>
      </c>
      <c r="G121" s="23" t="s">
        <v>269</v>
      </c>
      <c r="H121" s="278"/>
      <c r="I121" s="266"/>
      <c r="J121" s="328">
        <f xml:space="preserve"> J110 + J44</f>
        <v>8.7578868905519336</v>
      </c>
      <c r="K121" s="328">
        <f t="shared" ref="K121:AO121" si="27" xml:space="preserve"> K110 + K44</f>
        <v>8.7578868905519336</v>
      </c>
      <c r="L121" s="328">
        <f t="shared" si="27"/>
        <v>10.049981004930144</v>
      </c>
      <c r="M121" s="328">
        <f t="shared" si="27"/>
        <v>10.049981004930144</v>
      </c>
      <c r="N121" s="328">
        <f t="shared" si="27"/>
        <v>10.049981004930144</v>
      </c>
      <c r="O121" s="328">
        <f t="shared" si="27"/>
        <v>10.049981004930144</v>
      </c>
      <c r="P121" s="328">
        <f t="shared" si="27"/>
        <v>10.049981004930144</v>
      </c>
      <c r="Q121" s="328">
        <f t="shared" si="27"/>
        <v>10.049981004930144</v>
      </c>
      <c r="R121" s="328">
        <f t="shared" si="27"/>
        <v>7.2439851323805975</v>
      </c>
      <c r="S121" s="328">
        <f t="shared" si="27"/>
        <v>7.2439851323805975</v>
      </c>
      <c r="T121" s="328">
        <f t="shared" si="27"/>
        <v>7.2439851323805975</v>
      </c>
      <c r="U121" s="328">
        <f t="shared" si="27"/>
        <v>7.2439851323805975</v>
      </c>
      <c r="V121" s="328">
        <f t="shared" si="27"/>
        <v>7.2439851323805975</v>
      </c>
      <c r="W121" s="328">
        <f t="shared" si="27"/>
        <v>3.7452920159350667</v>
      </c>
      <c r="X121" s="328">
        <f t="shared" si="27"/>
        <v>3.7452920159350667</v>
      </c>
      <c r="Y121" s="328">
        <f t="shared" si="27"/>
        <v>3.7452920159350667</v>
      </c>
      <c r="Z121" s="328">
        <f t="shared" si="27"/>
        <v>3.7452920159350667</v>
      </c>
      <c r="AA121" s="328">
        <f t="shared" si="27"/>
        <v>3.7452920159350667</v>
      </c>
      <c r="AB121" s="328">
        <f t="shared" si="27"/>
        <v>2.6202382291421182</v>
      </c>
      <c r="AC121" s="328">
        <f t="shared" si="27"/>
        <v>2.6202382291421182</v>
      </c>
      <c r="AD121" s="328">
        <f t="shared" si="27"/>
        <v>2.6202382291421182</v>
      </c>
      <c r="AE121" s="328">
        <f t="shared" si="27"/>
        <v>2.6202382291421182</v>
      </c>
      <c r="AF121" s="328">
        <f t="shared" si="27"/>
        <v>2.6202382291421182</v>
      </c>
      <c r="AG121" s="328">
        <f t="shared" si="27"/>
        <v>17.413948956425816</v>
      </c>
      <c r="AH121" s="328">
        <f t="shared" si="27"/>
        <v>-6.7703858572355928</v>
      </c>
      <c r="AI121" s="328">
        <f t="shared" si="27"/>
        <v>-6.0634483873977167</v>
      </c>
      <c r="AJ121" s="328">
        <f t="shared" si="27"/>
        <v>-6.7703858572355928</v>
      </c>
      <c r="AK121" s="328">
        <f t="shared" si="27"/>
        <v>-6.7703858572355928</v>
      </c>
      <c r="AL121" s="328">
        <f t="shared" si="27"/>
        <v>-6.0634483873977167</v>
      </c>
      <c r="AM121" s="328">
        <f t="shared" si="27"/>
        <v>-6.0634483873977167</v>
      </c>
      <c r="AN121" s="328">
        <f t="shared" si="27"/>
        <v>-3.3990502940098173</v>
      </c>
      <c r="AO121" s="328">
        <f t="shared" si="27"/>
        <v>-3.3990502940098173</v>
      </c>
      <c r="AP121" s="267"/>
      <c r="AQ121" s="267"/>
    </row>
    <row r="122" spans="3:43" x14ac:dyDescent="0.35">
      <c r="E122" s="88"/>
      <c r="F122" t="s">
        <v>157</v>
      </c>
      <c r="G122" t="s">
        <v>269</v>
      </c>
      <c r="H122" s="279"/>
      <c r="I122" s="267"/>
      <c r="J122" s="329">
        <f t="shared" ref="J122" si="28" xml:space="preserve"> J111 + J45</f>
        <v>1.8206397762951982</v>
      </c>
      <c r="K122" s="329">
        <f t="shared" ref="K122:AO122" si="29" xml:space="preserve"> K111 + K45</f>
        <v>1.8206397762951982</v>
      </c>
      <c r="L122" s="329">
        <f t="shared" si="29"/>
        <v>2.089247714346067</v>
      </c>
      <c r="M122" s="329">
        <f t="shared" si="29"/>
        <v>2.089247714346067</v>
      </c>
      <c r="N122" s="329">
        <f t="shared" si="29"/>
        <v>2.089247714346067</v>
      </c>
      <c r="O122" s="329">
        <f t="shared" si="29"/>
        <v>2.089247714346067</v>
      </c>
      <c r="P122" s="329">
        <f t="shared" si="29"/>
        <v>2.089247714346067</v>
      </c>
      <c r="Q122" s="329">
        <f t="shared" si="29"/>
        <v>2.089247714346067</v>
      </c>
      <c r="R122" s="329">
        <f t="shared" si="29"/>
        <v>1.4663018872883582</v>
      </c>
      <c r="S122" s="329">
        <f t="shared" si="29"/>
        <v>1.4663018872883582</v>
      </c>
      <c r="T122" s="329">
        <f t="shared" si="29"/>
        <v>1.4663018872883582</v>
      </c>
      <c r="U122" s="329">
        <f t="shared" si="29"/>
        <v>1.4663018872883582</v>
      </c>
      <c r="V122" s="329">
        <f t="shared" si="29"/>
        <v>1.4663018872883582</v>
      </c>
      <c r="W122" s="329">
        <f t="shared" si="29"/>
        <v>0.67783233276690069</v>
      </c>
      <c r="X122" s="329">
        <f t="shared" si="29"/>
        <v>0.67783233276690069</v>
      </c>
      <c r="Y122" s="329">
        <f t="shared" si="29"/>
        <v>0.67783233276690069</v>
      </c>
      <c r="Z122" s="329">
        <f t="shared" si="29"/>
        <v>0.67783233276690069</v>
      </c>
      <c r="AA122" s="329">
        <f t="shared" si="29"/>
        <v>0.67783233276690069</v>
      </c>
      <c r="AB122" s="329">
        <f t="shared" si="29"/>
        <v>0.45455208805206132</v>
      </c>
      <c r="AC122" s="329">
        <f t="shared" si="29"/>
        <v>0.45455208805206132</v>
      </c>
      <c r="AD122" s="329">
        <f t="shared" si="29"/>
        <v>0.45455208805206132</v>
      </c>
      <c r="AE122" s="329">
        <f t="shared" si="29"/>
        <v>0.45455208805206132</v>
      </c>
      <c r="AF122" s="329">
        <f t="shared" si="29"/>
        <v>0.45455208805206132</v>
      </c>
      <c r="AG122" s="329">
        <f t="shared" si="29"/>
        <v>4.8899293298786448</v>
      </c>
      <c r="AH122" s="329">
        <f t="shared" si="29"/>
        <v>-1.4074666579500381</v>
      </c>
      <c r="AI122" s="329">
        <f t="shared" si="29"/>
        <v>-1.2460008567520371</v>
      </c>
      <c r="AJ122" s="329">
        <f t="shared" si="29"/>
        <v>-1.4074666579500381</v>
      </c>
      <c r="AK122" s="329">
        <f t="shared" si="29"/>
        <v>-1.4074666579500381</v>
      </c>
      <c r="AL122" s="329">
        <f t="shared" si="29"/>
        <v>-1.2460008567520371</v>
      </c>
      <c r="AM122" s="329">
        <f t="shared" si="29"/>
        <v>-1.2460008567520371</v>
      </c>
      <c r="AN122" s="329">
        <f t="shared" si="29"/>
        <v>-0.61509915250322988</v>
      </c>
      <c r="AO122" s="329">
        <f t="shared" si="29"/>
        <v>-0.61509915250322988</v>
      </c>
      <c r="AP122" s="267"/>
      <c r="AQ122" s="267"/>
    </row>
    <row r="123" spans="3:43" x14ac:dyDescent="0.35">
      <c r="E123" s="88"/>
      <c r="F123" t="s">
        <v>158</v>
      </c>
      <c r="G123" t="s">
        <v>269</v>
      </c>
      <c r="H123" s="279"/>
      <c r="I123" s="267"/>
      <c r="J123" s="329">
        <f t="shared" ref="J123" si="30" xml:space="preserve"> J112 + J46</f>
        <v>0.63370675863757786</v>
      </c>
      <c r="K123" s="329">
        <f t="shared" ref="K123:AO123" si="31" xml:space="preserve"> K112 + K46</f>
        <v>0.63370675863757786</v>
      </c>
      <c r="L123" s="329">
        <f t="shared" si="31"/>
        <v>0.72720063259485002</v>
      </c>
      <c r="M123" s="329">
        <f t="shared" si="31"/>
        <v>0.72720063259485002</v>
      </c>
      <c r="N123" s="329">
        <f t="shared" si="31"/>
        <v>0.72720063259485002</v>
      </c>
      <c r="O123" s="329">
        <f t="shared" si="31"/>
        <v>0.72720063259485002</v>
      </c>
      <c r="P123" s="329">
        <f t="shared" si="31"/>
        <v>0.72720063259485002</v>
      </c>
      <c r="Q123" s="329">
        <f t="shared" si="31"/>
        <v>0.72720063259485002</v>
      </c>
      <c r="R123" s="329">
        <f t="shared" si="31"/>
        <v>0.51447803021364991</v>
      </c>
      <c r="S123" s="329">
        <f t="shared" si="31"/>
        <v>0.51447803021364991</v>
      </c>
      <c r="T123" s="329">
        <f t="shared" si="31"/>
        <v>0.51447803021364991</v>
      </c>
      <c r="U123" s="329">
        <f t="shared" si="31"/>
        <v>0.51447803021364991</v>
      </c>
      <c r="V123" s="329">
        <f t="shared" si="31"/>
        <v>0.51447803021364991</v>
      </c>
      <c r="W123" s="329">
        <f t="shared" si="31"/>
        <v>0.24637179623668531</v>
      </c>
      <c r="X123" s="329">
        <f t="shared" si="31"/>
        <v>0.24637179623668531</v>
      </c>
      <c r="Y123" s="329">
        <f t="shared" si="31"/>
        <v>0.24637179623668531</v>
      </c>
      <c r="Z123" s="329">
        <f t="shared" si="31"/>
        <v>0.24637179623668531</v>
      </c>
      <c r="AA123" s="329">
        <f t="shared" si="31"/>
        <v>0.24637179623668531</v>
      </c>
      <c r="AB123" s="329">
        <f t="shared" si="31"/>
        <v>0.1764399618541925</v>
      </c>
      <c r="AC123" s="329">
        <f t="shared" si="31"/>
        <v>0.1764399618541925</v>
      </c>
      <c r="AD123" s="329">
        <f t="shared" si="31"/>
        <v>0.1764399618541925</v>
      </c>
      <c r="AE123" s="329">
        <f t="shared" si="31"/>
        <v>0.1764399618541925</v>
      </c>
      <c r="AF123" s="329">
        <f t="shared" si="31"/>
        <v>0.1764399618541925</v>
      </c>
      <c r="AG123" s="329">
        <f t="shared" si="31"/>
        <v>3.9227644188572572</v>
      </c>
      <c r="AH123" s="329">
        <f t="shared" si="31"/>
        <v>-0.48989434665375964</v>
      </c>
      <c r="AI123" s="329">
        <f t="shared" si="31"/>
        <v>-0.43519597745109795</v>
      </c>
      <c r="AJ123" s="329">
        <f t="shared" si="31"/>
        <v>-0.48989434665375964</v>
      </c>
      <c r="AK123" s="329">
        <f t="shared" si="31"/>
        <v>-0.48989434665375964</v>
      </c>
      <c r="AL123" s="329">
        <f t="shared" si="31"/>
        <v>-0.43519597745109795</v>
      </c>
      <c r="AM123" s="329">
        <f t="shared" si="31"/>
        <v>-0.43519597745109795</v>
      </c>
      <c r="AN123" s="329">
        <f t="shared" si="31"/>
        <v>-0.22360981889651921</v>
      </c>
      <c r="AO123" s="329">
        <f t="shared" si="31"/>
        <v>-0.22360981889651921</v>
      </c>
      <c r="AP123" s="267"/>
      <c r="AQ123" s="267"/>
    </row>
    <row r="124" spans="3:43" x14ac:dyDescent="0.35">
      <c r="E124" s="88"/>
      <c r="F124" t="s">
        <v>159</v>
      </c>
      <c r="G124" t="s">
        <v>270</v>
      </c>
      <c r="H124" s="51"/>
      <c r="J124" s="330">
        <f t="shared" ref="J124" si="32" xml:space="preserve"> J113 + J47</f>
        <v>27.508236181939715</v>
      </c>
      <c r="K124" s="330">
        <f t="shared" ref="K124:AO124" si="33" xml:space="preserve"> K113 + K47</f>
        <v>0</v>
      </c>
      <c r="L124" s="330">
        <f t="shared" si="33"/>
        <v>10.370811865458386</v>
      </c>
      <c r="M124" s="330">
        <f t="shared" si="33"/>
        <v>13.379142298779863</v>
      </c>
      <c r="N124" s="330">
        <f t="shared" si="33"/>
        <v>28.172543191481171</v>
      </c>
      <c r="O124" s="330">
        <f t="shared" si="33"/>
        <v>54.299139346410733</v>
      </c>
      <c r="P124" s="330">
        <f t="shared" si="33"/>
        <v>154.10476842135787</v>
      </c>
      <c r="Q124" s="330">
        <f t="shared" si="33"/>
        <v>0</v>
      </c>
      <c r="R124" s="330">
        <f t="shared" si="33"/>
        <v>27.173148153138698</v>
      </c>
      <c r="S124" s="330">
        <f t="shared" si="33"/>
        <v>253.33329595772446</v>
      </c>
      <c r="T124" s="330">
        <f t="shared" si="33"/>
        <v>453.03074553617768</v>
      </c>
      <c r="U124" s="330">
        <f t="shared" si="33"/>
        <v>736.93084759996214</v>
      </c>
      <c r="V124" s="330">
        <f t="shared" si="33"/>
        <v>1686.6611666688366</v>
      </c>
      <c r="W124" s="330">
        <f t="shared" si="33"/>
        <v>63.826851412050161</v>
      </c>
      <c r="X124" s="330">
        <f t="shared" si="33"/>
        <v>289.98699921663598</v>
      </c>
      <c r="Y124" s="330">
        <f t="shared" si="33"/>
        <v>489.68444879508928</v>
      </c>
      <c r="Z124" s="330">
        <f t="shared" si="33"/>
        <v>773.58455085887363</v>
      </c>
      <c r="AA124" s="330">
        <f t="shared" si="33"/>
        <v>1723.3148699277481</v>
      </c>
      <c r="AB124" s="330">
        <f t="shared" si="33"/>
        <v>322.10905861776524</v>
      </c>
      <c r="AC124" s="330">
        <f t="shared" si="33"/>
        <v>741.62035457447655</v>
      </c>
      <c r="AD124" s="330">
        <f t="shared" si="33"/>
        <v>3586.6722339533026</v>
      </c>
      <c r="AE124" s="330">
        <f t="shared" si="33"/>
        <v>7343.9154788512133</v>
      </c>
      <c r="AF124" s="330">
        <f t="shared" si="33"/>
        <v>15742.674197775368</v>
      </c>
      <c r="AG124" s="330">
        <f t="shared" si="33"/>
        <v>0</v>
      </c>
      <c r="AH124" s="330">
        <f t="shared" si="33"/>
        <v>0</v>
      </c>
      <c r="AI124" s="330">
        <f t="shared" si="33"/>
        <v>0</v>
      </c>
      <c r="AJ124" s="330">
        <f t="shared" si="33"/>
        <v>0</v>
      </c>
      <c r="AK124" s="330">
        <f t="shared" si="33"/>
        <v>0</v>
      </c>
      <c r="AL124" s="330">
        <f t="shared" si="33"/>
        <v>0</v>
      </c>
      <c r="AM124" s="330">
        <f t="shared" si="33"/>
        <v>0</v>
      </c>
      <c r="AN124" s="330">
        <f t="shared" si="33"/>
        <v>526.69511172822524</v>
      </c>
      <c r="AO124" s="330">
        <f t="shared" si="33"/>
        <v>526.69511172822524</v>
      </c>
    </row>
    <row r="125" spans="3:43" x14ac:dyDescent="0.35">
      <c r="E125" s="88"/>
      <c r="F125" t="s">
        <v>160</v>
      </c>
      <c r="G125" t="s">
        <v>271</v>
      </c>
      <c r="H125" s="51"/>
      <c r="J125" s="330">
        <f t="shared" ref="J125" si="34" xml:space="preserve"> J114 + J48</f>
        <v>0</v>
      </c>
      <c r="K125" s="330">
        <f t="shared" ref="K125:AO125" si="35" xml:space="preserve"> K114 + K48</f>
        <v>0</v>
      </c>
      <c r="L125" s="330">
        <f t="shared" si="35"/>
        <v>0</v>
      </c>
      <c r="M125" s="330">
        <f t="shared" si="35"/>
        <v>0</v>
      </c>
      <c r="N125" s="330">
        <f t="shared" si="35"/>
        <v>0</v>
      </c>
      <c r="O125" s="330">
        <f t="shared" si="35"/>
        <v>0</v>
      </c>
      <c r="P125" s="330">
        <f t="shared" si="35"/>
        <v>0</v>
      </c>
      <c r="Q125" s="330">
        <f t="shared" si="35"/>
        <v>0</v>
      </c>
      <c r="R125" s="330">
        <f t="shared" si="35"/>
        <v>5.4456927810994635</v>
      </c>
      <c r="S125" s="330">
        <f t="shared" si="35"/>
        <v>5.4456927810994635</v>
      </c>
      <c r="T125" s="330">
        <f t="shared" si="35"/>
        <v>5.4456927810994635</v>
      </c>
      <c r="U125" s="330">
        <f t="shared" si="35"/>
        <v>5.4456927810994635</v>
      </c>
      <c r="V125" s="330">
        <f t="shared" si="35"/>
        <v>5.4456927810994635</v>
      </c>
      <c r="W125" s="330">
        <f t="shared" si="35"/>
        <v>8.6286268818898275</v>
      </c>
      <c r="X125" s="330">
        <f t="shared" si="35"/>
        <v>8.6286268818898275</v>
      </c>
      <c r="Y125" s="330">
        <f t="shared" si="35"/>
        <v>8.6286268818898275</v>
      </c>
      <c r="Z125" s="330">
        <f t="shared" si="35"/>
        <v>8.6286268818898275</v>
      </c>
      <c r="AA125" s="330">
        <f t="shared" si="35"/>
        <v>8.6286268818898275</v>
      </c>
      <c r="AB125" s="330">
        <f t="shared" si="35"/>
        <v>11.66095176944162</v>
      </c>
      <c r="AC125" s="330">
        <f t="shared" si="35"/>
        <v>11.66095176944162</v>
      </c>
      <c r="AD125" s="330">
        <f t="shared" si="35"/>
        <v>11.66095176944162</v>
      </c>
      <c r="AE125" s="330">
        <f t="shared" si="35"/>
        <v>11.66095176944162</v>
      </c>
      <c r="AF125" s="330">
        <f t="shared" si="35"/>
        <v>11.66095176944162</v>
      </c>
      <c r="AG125" s="330">
        <f t="shared" si="35"/>
        <v>0</v>
      </c>
      <c r="AH125" s="330">
        <f t="shared" si="35"/>
        <v>0</v>
      </c>
      <c r="AI125" s="330">
        <f t="shared" si="35"/>
        <v>0</v>
      </c>
      <c r="AJ125" s="330">
        <f t="shared" si="35"/>
        <v>0</v>
      </c>
      <c r="AK125" s="330">
        <f t="shared" si="35"/>
        <v>0</v>
      </c>
      <c r="AL125" s="330">
        <f t="shared" si="35"/>
        <v>0</v>
      </c>
      <c r="AM125" s="330">
        <f t="shared" si="35"/>
        <v>0</v>
      </c>
      <c r="AN125" s="330">
        <f t="shared" si="35"/>
        <v>0</v>
      </c>
      <c r="AO125" s="330">
        <f t="shared" si="35"/>
        <v>0</v>
      </c>
    </row>
    <row r="126" spans="3:43" x14ac:dyDescent="0.35">
      <c r="E126" s="88"/>
      <c r="F126" t="s">
        <v>161</v>
      </c>
      <c r="G126" t="s">
        <v>271</v>
      </c>
      <c r="H126" s="51"/>
      <c r="J126" s="330">
        <f t="shared" ref="J126" si="36" xml:space="preserve"> J115 + J49</f>
        <v>0</v>
      </c>
      <c r="K126" s="330">
        <f t="shared" ref="K126:AO126" si="37" xml:space="preserve"> K115 + K49</f>
        <v>0</v>
      </c>
      <c r="L126" s="330">
        <f t="shared" si="37"/>
        <v>0</v>
      </c>
      <c r="M126" s="330">
        <f t="shared" si="37"/>
        <v>0</v>
      </c>
      <c r="N126" s="330">
        <f t="shared" si="37"/>
        <v>0</v>
      </c>
      <c r="O126" s="330">
        <f t="shared" si="37"/>
        <v>0</v>
      </c>
      <c r="P126" s="330">
        <f t="shared" si="37"/>
        <v>0</v>
      </c>
      <c r="Q126" s="330">
        <f t="shared" si="37"/>
        <v>0</v>
      </c>
      <c r="R126" s="330">
        <f t="shared" si="37"/>
        <v>9.5225717204209275</v>
      </c>
      <c r="S126" s="330">
        <f t="shared" si="37"/>
        <v>9.5225717204209275</v>
      </c>
      <c r="T126" s="330">
        <f t="shared" si="37"/>
        <v>9.5225717204209275</v>
      </c>
      <c r="U126" s="330">
        <f t="shared" si="37"/>
        <v>9.5225717204209275</v>
      </c>
      <c r="V126" s="330">
        <f t="shared" si="37"/>
        <v>9.5225717204209275</v>
      </c>
      <c r="W126" s="330">
        <f t="shared" si="37"/>
        <v>11.683618977303782</v>
      </c>
      <c r="X126" s="330">
        <f t="shared" si="37"/>
        <v>11.683618977303782</v>
      </c>
      <c r="Y126" s="330">
        <f t="shared" si="37"/>
        <v>11.683618977303782</v>
      </c>
      <c r="Z126" s="330">
        <f t="shared" si="37"/>
        <v>11.683618977303782</v>
      </c>
      <c r="AA126" s="330">
        <f t="shared" si="37"/>
        <v>11.683618977303782</v>
      </c>
      <c r="AB126" s="330">
        <f t="shared" si="37"/>
        <v>13.569478191552264</v>
      </c>
      <c r="AC126" s="330">
        <f t="shared" si="37"/>
        <v>13.569478191552264</v>
      </c>
      <c r="AD126" s="330">
        <f t="shared" si="37"/>
        <v>13.569478191552264</v>
      </c>
      <c r="AE126" s="330">
        <f t="shared" si="37"/>
        <v>13.569478191552264</v>
      </c>
      <c r="AF126" s="330">
        <f t="shared" si="37"/>
        <v>13.569478191552264</v>
      </c>
      <c r="AG126" s="330">
        <f t="shared" si="37"/>
        <v>0</v>
      </c>
      <c r="AH126" s="330">
        <f t="shared" si="37"/>
        <v>0</v>
      </c>
      <c r="AI126" s="330">
        <f t="shared" si="37"/>
        <v>0</v>
      </c>
      <c r="AJ126" s="330">
        <f t="shared" si="37"/>
        <v>0</v>
      </c>
      <c r="AK126" s="330">
        <f t="shared" si="37"/>
        <v>0</v>
      </c>
      <c r="AL126" s="330">
        <f t="shared" si="37"/>
        <v>0</v>
      </c>
      <c r="AM126" s="330">
        <f t="shared" si="37"/>
        <v>0</v>
      </c>
      <c r="AN126" s="330">
        <f t="shared" si="37"/>
        <v>0</v>
      </c>
      <c r="AO126" s="330">
        <f t="shared" si="37"/>
        <v>0</v>
      </c>
    </row>
    <row r="127" spans="3:43" x14ac:dyDescent="0.35">
      <c r="E127" s="88"/>
      <c r="F127" s="37" t="s">
        <v>162</v>
      </c>
      <c r="G127" s="37" t="s">
        <v>272</v>
      </c>
      <c r="H127" s="283"/>
      <c r="I127" s="269"/>
      <c r="J127" s="284">
        <f t="shared" ref="J127" si="38" xml:space="preserve"> J116 + J50</f>
        <v>0</v>
      </c>
      <c r="K127" s="284">
        <f t="shared" ref="K127:AO127" si="39" xml:space="preserve"> K116 + K50</f>
        <v>0</v>
      </c>
      <c r="L127" s="284">
        <f t="shared" si="39"/>
        <v>0</v>
      </c>
      <c r="M127" s="284">
        <f t="shared" si="39"/>
        <v>0</v>
      </c>
      <c r="N127" s="284">
        <f t="shared" si="39"/>
        <v>0</v>
      </c>
      <c r="O127" s="284">
        <f t="shared" si="39"/>
        <v>0</v>
      </c>
      <c r="P127" s="284">
        <f t="shared" si="39"/>
        <v>0</v>
      </c>
      <c r="Q127" s="284">
        <f t="shared" si="39"/>
        <v>0</v>
      </c>
      <c r="R127" s="284">
        <f t="shared" si="39"/>
        <v>0.29016585626188895</v>
      </c>
      <c r="S127" s="284">
        <f t="shared" si="39"/>
        <v>0.29016585626188895</v>
      </c>
      <c r="T127" s="284">
        <f t="shared" si="39"/>
        <v>0.29016585626188895</v>
      </c>
      <c r="U127" s="284">
        <f t="shared" si="39"/>
        <v>0.29016585626188895</v>
      </c>
      <c r="V127" s="284">
        <f t="shared" si="39"/>
        <v>0.29016585626188895</v>
      </c>
      <c r="W127" s="284">
        <f t="shared" si="39"/>
        <v>0.13734796865901858</v>
      </c>
      <c r="X127" s="284">
        <f t="shared" si="39"/>
        <v>0.13734796865901858</v>
      </c>
      <c r="Y127" s="284">
        <f t="shared" si="39"/>
        <v>0.13734796865901858</v>
      </c>
      <c r="Z127" s="284">
        <f t="shared" si="39"/>
        <v>0.13734796865901858</v>
      </c>
      <c r="AA127" s="284">
        <f t="shared" si="39"/>
        <v>0.13734796865901858</v>
      </c>
      <c r="AB127" s="284">
        <f t="shared" si="39"/>
        <v>9.3179203276517297E-2</v>
      </c>
      <c r="AC127" s="284">
        <f t="shared" si="39"/>
        <v>9.3179203276517297E-2</v>
      </c>
      <c r="AD127" s="284">
        <f t="shared" si="39"/>
        <v>9.3179203276517297E-2</v>
      </c>
      <c r="AE127" s="284">
        <f t="shared" si="39"/>
        <v>9.3179203276517297E-2</v>
      </c>
      <c r="AF127" s="284">
        <f t="shared" si="39"/>
        <v>9.3179203276517297E-2</v>
      </c>
      <c r="AG127" s="284">
        <f t="shared" si="39"/>
        <v>0</v>
      </c>
      <c r="AH127" s="284">
        <f t="shared" si="39"/>
        <v>0</v>
      </c>
      <c r="AI127" s="284">
        <f t="shared" si="39"/>
        <v>0</v>
      </c>
      <c r="AJ127" s="284">
        <f t="shared" si="39"/>
        <v>0.28408916936135709</v>
      </c>
      <c r="AK127" s="284">
        <f t="shared" si="39"/>
        <v>0</v>
      </c>
      <c r="AL127" s="284">
        <f t="shared" si="39"/>
        <v>0.23757355377153469</v>
      </c>
      <c r="AM127" s="284">
        <f t="shared" si="39"/>
        <v>0</v>
      </c>
      <c r="AN127" s="284">
        <f t="shared" si="39"/>
        <v>0.21638006796957138</v>
      </c>
      <c r="AO127" s="284">
        <f t="shared" si="39"/>
        <v>0</v>
      </c>
      <c r="AP127" s="267"/>
      <c r="AQ127" s="267"/>
    </row>
    <row r="128" spans="3:43" x14ac:dyDescent="0.35">
      <c r="E128" s="32"/>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row>
    <row r="129" spans="3:43" x14ac:dyDescent="0.35">
      <c r="E129" s="32" t="s">
        <v>891</v>
      </c>
      <c r="I129" t="s">
        <v>154</v>
      </c>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Q129" t="s">
        <v>899</v>
      </c>
    </row>
    <row r="130" spans="3:43" x14ac:dyDescent="0.35">
      <c r="E130" s="88"/>
      <c r="F130" s="23" t="s">
        <v>156</v>
      </c>
      <c r="G130" s="23" t="s">
        <v>269</v>
      </c>
      <c r="H130" s="278"/>
      <c r="I130" s="266"/>
      <c r="J130" s="281">
        <f t="shared" ref="J130:J136" si="40" xml:space="preserve"> J110 * (1 - J75) + J44</f>
        <v>6.1856112714632951</v>
      </c>
      <c r="K130" s="281">
        <f t="shared" ref="K130:AJ130" si="41" xml:space="preserve"> K110 * (1 - K75) + K44</f>
        <v>6.1856112714632951</v>
      </c>
      <c r="L130" s="281">
        <f t="shared" si="41"/>
        <v>7.0982049162055549</v>
      </c>
      <c r="M130" s="281">
        <f t="shared" si="41"/>
        <v>7.0982049162055549</v>
      </c>
      <c r="N130" s="281">
        <f t="shared" si="41"/>
        <v>7.0982049162055549</v>
      </c>
      <c r="O130" s="281">
        <f t="shared" si="41"/>
        <v>7.0982049162055549</v>
      </c>
      <c r="P130" s="281">
        <f t="shared" si="41"/>
        <v>7.0982049162055549</v>
      </c>
      <c r="Q130" s="281">
        <f t="shared" si="41"/>
        <v>7.0982049162055549</v>
      </c>
      <c r="R130" s="281">
        <f t="shared" si="41"/>
        <v>5.1163570214072571</v>
      </c>
      <c r="S130" s="281">
        <f t="shared" si="41"/>
        <v>5.1163570214072571</v>
      </c>
      <c r="T130" s="281">
        <f t="shared" si="41"/>
        <v>5.1163570214072571</v>
      </c>
      <c r="U130" s="281">
        <f t="shared" si="41"/>
        <v>5.1163570214072571</v>
      </c>
      <c r="V130" s="281">
        <f t="shared" si="41"/>
        <v>5.1163570214072571</v>
      </c>
      <c r="W130" s="280"/>
      <c r="X130" s="280"/>
      <c r="Y130" s="280"/>
      <c r="Z130" s="280"/>
      <c r="AA130" s="280"/>
      <c r="AB130" s="280"/>
      <c r="AC130" s="280"/>
      <c r="AD130" s="280"/>
      <c r="AE130" s="280"/>
      <c r="AF130" s="280"/>
      <c r="AG130" s="281">
        <f t="shared" si="41"/>
        <v>12.299304648677143</v>
      </c>
      <c r="AH130" s="281">
        <f t="shared" si="41"/>
        <v>-6.7703858572355928</v>
      </c>
      <c r="AI130" s="280"/>
      <c r="AJ130" s="281">
        <f t="shared" si="41"/>
        <v>-6.7703858572355928</v>
      </c>
      <c r="AK130" s="280"/>
      <c r="AL130" s="280"/>
      <c r="AM130" s="280"/>
      <c r="AN130" s="280"/>
      <c r="AO130" s="280"/>
      <c r="AP130" s="267"/>
      <c r="AQ130" s="267"/>
    </row>
    <row r="131" spans="3:43" x14ac:dyDescent="0.35">
      <c r="E131" s="88"/>
      <c r="F131" t="s">
        <v>157</v>
      </c>
      <c r="G131" t="s">
        <v>269</v>
      </c>
      <c r="H131" s="279"/>
      <c r="I131" s="267"/>
      <c r="J131" s="329">
        <f t="shared" si="40"/>
        <v>1.2859003618413092</v>
      </c>
      <c r="K131" s="329">
        <f t="shared" ref="K131:AJ131" si="42" xml:space="preserve"> K111 * (1 - K76) + K45</f>
        <v>1.2859003618413092</v>
      </c>
      <c r="L131" s="329">
        <f t="shared" si="42"/>
        <v>1.4756155648321598</v>
      </c>
      <c r="M131" s="329">
        <f t="shared" si="42"/>
        <v>1.4756155648321598</v>
      </c>
      <c r="N131" s="329">
        <f t="shared" si="42"/>
        <v>1.4756155648321598</v>
      </c>
      <c r="O131" s="329">
        <f t="shared" si="42"/>
        <v>1.4756155648321598</v>
      </c>
      <c r="P131" s="329">
        <f t="shared" si="42"/>
        <v>1.4756155648321598</v>
      </c>
      <c r="Q131" s="329">
        <f t="shared" si="42"/>
        <v>1.4756155648321598</v>
      </c>
      <c r="R131" s="329">
        <f t="shared" si="42"/>
        <v>1.0356349190994369</v>
      </c>
      <c r="S131" s="329">
        <f t="shared" si="42"/>
        <v>1.0356349190994369</v>
      </c>
      <c r="T131" s="329">
        <f t="shared" si="42"/>
        <v>1.0356349190994369</v>
      </c>
      <c r="U131" s="329">
        <f t="shared" si="42"/>
        <v>1.0356349190994369</v>
      </c>
      <c r="V131" s="329">
        <f t="shared" si="42"/>
        <v>1.0356349190994369</v>
      </c>
      <c r="W131" s="268"/>
      <c r="X131" s="268"/>
      <c r="Y131" s="268"/>
      <c r="Z131" s="268"/>
      <c r="AA131" s="268"/>
      <c r="AB131" s="268"/>
      <c r="AC131" s="268"/>
      <c r="AD131" s="268"/>
      <c r="AE131" s="268"/>
      <c r="AF131" s="268"/>
      <c r="AG131" s="329">
        <f t="shared" si="42"/>
        <v>3.4537100510155234</v>
      </c>
      <c r="AH131" s="329">
        <f t="shared" si="42"/>
        <v>-1.4074666579500381</v>
      </c>
      <c r="AI131" s="268"/>
      <c r="AJ131" s="329">
        <f t="shared" si="42"/>
        <v>-1.4074666579500381</v>
      </c>
      <c r="AK131" s="268"/>
      <c r="AL131" s="268"/>
      <c r="AM131" s="268"/>
      <c r="AN131" s="268"/>
      <c r="AO131" s="268"/>
      <c r="AP131" s="267"/>
      <c r="AQ131" s="267"/>
    </row>
    <row r="132" spans="3:43" x14ac:dyDescent="0.35">
      <c r="E132" s="88"/>
      <c r="F132" t="s">
        <v>158</v>
      </c>
      <c r="G132" t="s">
        <v>269</v>
      </c>
      <c r="H132" s="279"/>
      <c r="I132" s="267"/>
      <c r="J132" s="329">
        <f t="shared" si="40"/>
        <v>0.44758098820159992</v>
      </c>
      <c r="K132" s="329">
        <f t="shared" ref="K132:AJ132" si="43" xml:space="preserve"> K112 * (1 - K77) + K46</f>
        <v>0.44758098820159992</v>
      </c>
      <c r="L132" s="329">
        <f t="shared" si="43"/>
        <v>0.51361481208973014</v>
      </c>
      <c r="M132" s="329">
        <f t="shared" si="43"/>
        <v>0.51361481208973014</v>
      </c>
      <c r="N132" s="329">
        <f t="shared" si="43"/>
        <v>0.51361481208973014</v>
      </c>
      <c r="O132" s="329">
        <f t="shared" si="43"/>
        <v>0.51361481208973014</v>
      </c>
      <c r="P132" s="329">
        <f t="shared" si="43"/>
        <v>0.51361481208973014</v>
      </c>
      <c r="Q132" s="329">
        <f t="shared" si="43"/>
        <v>0.51361481208973014</v>
      </c>
      <c r="R132" s="329">
        <f t="shared" si="43"/>
        <v>0.36337088413906543</v>
      </c>
      <c r="S132" s="329">
        <f t="shared" si="43"/>
        <v>0.36337088413906543</v>
      </c>
      <c r="T132" s="329">
        <f t="shared" si="43"/>
        <v>0.36337088413906543</v>
      </c>
      <c r="U132" s="329">
        <f t="shared" si="43"/>
        <v>0.36337088413906543</v>
      </c>
      <c r="V132" s="329">
        <f t="shared" si="43"/>
        <v>0.36337088413906543</v>
      </c>
      <c r="W132" s="268"/>
      <c r="X132" s="268"/>
      <c r="Y132" s="268"/>
      <c r="Z132" s="268"/>
      <c r="AA132" s="268"/>
      <c r="AB132" s="268"/>
      <c r="AC132" s="268"/>
      <c r="AD132" s="268"/>
      <c r="AE132" s="268"/>
      <c r="AF132" s="268"/>
      <c r="AG132" s="329">
        <f t="shared" si="43"/>
        <v>2.7706107772133399</v>
      </c>
      <c r="AH132" s="329">
        <f t="shared" si="43"/>
        <v>-0.48989434665375964</v>
      </c>
      <c r="AI132" s="268"/>
      <c r="AJ132" s="329">
        <f t="shared" si="43"/>
        <v>-0.48989434665375964</v>
      </c>
      <c r="AK132" s="268"/>
      <c r="AL132" s="268"/>
      <c r="AM132" s="268"/>
      <c r="AN132" s="268"/>
      <c r="AO132" s="268"/>
      <c r="AP132" s="267"/>
      <c r="AQ132" s="267"/>
    </row>
    <row r="133" spans="3:43" x14ac:dyDescent="0.35">
      <c r="E133" s="88"/>
      <c r="F133" t="s">
        <v>159</v>
      </c>
      <c r="G133" t="s">
        <v>270</v>
      </c>
      <c r="H133" s="51"/>
      <c r="J133" s="330">
        <f t="shared" si="40"/>
        <v>22.343162853647165</v>
      </c>
      <c r="K133" s="330">
        <f t="shared" ref="K133:AJ133" si="44" xml:space="preserve"> K113 * (1 - K78) + K47</f>
        <v>0</v>
      </c>
      <c r="L133" s="330">
        <f t="shared" si="44"/>
        <v>7.3394008802705875</v>
      </c>
      <c r="M133" s="330">
        <f t="shared" si="44"/>
        <v>9.4641557291501961</v>
      </c>
      <c r="N133" s="330">
        <f t="shared" si="44"/>
        <v>19.912592486638573</v>
      </c>
      <c r="O133" s="330">
        <f t="shared" si="44"/>
        <v>38.36555604743161</v>
      </c>
      <c r="P133" s="330">
        <f t="shared" si="44"/>
        <v>108.85731186440712</v>
      </c>
      <c r="Q133" s="330">
        <f t="shared" si="44"/>
        <v>0</v>
      </c>
      <c r="R133" s="330">
        <f t="shared" si="44"/>
        <v>19.206729383920866</v>
      </c>
      <c r="S133" s="330">
        <f t="shared" si="44"/>
        <v>178.94146641563967</v>
      </c>
      <c r="T133" s="330">
        <f t="shared" si="44"/>
        <v>319.98585422653389</v>
      </c>
      <c r="U133" s="330">
        <f t="shared" si="44"/>
        <v>520.501765569236</v>
      </c>
      <c r="V133" s="330">
        <f t="shared" si="44"/>
        <v>1191.2871547731645</v>
      </c>
      <c r="W133" s="79"/>
      <c r="X133" s="79"/>
      <c r="Y133" s="79"/>
      <c r="Z133" s="79"/>
      <c r="AA133" s="79"/>
      <c r="AB133" s="79"/>
      <c r="AC133" s="79"/>
      <c r="AD133" s="79"/>
      <c r="AE133" s="79"/>
      <c r="AF133" s="79"/>
      <c r="AG133" s="330">
        <f t="shared" si="44"/>
        <v>0</v>
      </c>
      <c r="AH133" s="330">
        <f t="shared" si="44"/>
        <v>0</v>
      </c>
      <c r="AI133" s="79"/>
      <c r="AJ133" s="330">
        <f t="shared" si="44"/>
        <v>0</v>
      </c>
      <c r="AK133" s="79"/>
      <c r="AL133" s="79"/>
      <c r="AM133" s="79"/>
      <c r="AN133" s="79"/>
      <c r="AO133" s="79"/>
    </row>
    <row r="134" spans="3:43" x14ac:dyDescent="0.35">
      <c r="E134" s="88"/>
      <c r="F134" t="s">
        <v>160</v>
      </c>
      <c r="G134" t="s">
        <v>271</v>
      </c>
      <c r="H134" s="51"/>
      <c r="J134" s="330">
        <f t="shared" si="40"/>
        <v>0</v>
      </c>
      <c r="K134" s="330">
        <f t="shared" ref="K134:AJ134" si="45" xml:space="preserve"> K114 * (1 - K79) + K48</f>
        <v>0</v>
      </c>
      <c r="L134" s="330">
        <f t="shared" si="45"/>
        <v>0</v>
      </c>
      <c r="M134" s="330">
        <f t="shared" si="45"/>
        <v>0</v>
      </c>
      <c r="N134" s="330">
        <f t="shared" si="45"/>
        <v>0</v>
      </c>
      <c r="O134" s="330">
        <f t="shared" si="45"/>
        <v>0</v>
      </c>
      <c r="P134" s="330">
        <f t="shared" si="45"/>
        <v>0</v>
      </c>
      <c r="Q134" s="330">
        <f t="shared" si="45"/>
        <v>0</v>
      </c>
      <c r="R134" s="330">
        <f t="shared" si="45"/>
        <v>3.8462404309005951</v>
      </c>
      <c r="S134" s="330">
        <f t="shared" si="45"/>
        <v>3.8462404309005951</v>
      </c>
      <c r="T134" s="330">
        <f t="shared" si="45"/>
        <v>3.8462404309005951</v>
      </c>
      <c r="U134" s="330">
        <f t="shared" si="45"/>
        <v>3.8462404309005951</v>
      </c>
      <c r="V134" s="330">
        <f t="shared" si="45"/>
        <v>3.8462404309005951</v>
      </c>
      <c r="W134" s="79"/>
      <c r="X134" s="79"/>
      <c r="Y134" s="79"/>
      <c r="Z134" s="79"/>
      <c r="AA134" s="79"/>
      <c r="AB134" s="79"/>
      <c r="AC134" s="79"/>
      <c r="AD134" s="79"/>
      <c r="AE134" s="79"/>
      <c r="AF134" s="79"/>
      <c r="AG134" s="330">
        <f t="shared" si="45"/>
        <v>0</v>
      </c>
      <c r="AH134" s="330">
        <f t="shared" si="45"/>
        <v>0</v>
      </c>
      <c r="AI134" s="79"/>
      <c r="AJ134" s="330">
        <f t="shared" si="45"/>
        <v>0</v>
      </c>
      <c r="AK134" s="79"/>
      <c r="AL134" s="79"/>
      <c r="AM134" s="79"/>
      <c r="AN134" s="79"/>
      <c r="AO134" s="79"/>
    </row>
    <row r="135" spans="3:43" x14ac:dyDescent="0.35">
      <c r="E135" s="88"/>
      <c r="F135" t="s">
        <v>161</v>
      </c>
      <c r="G135" t="s">
        <v>271</v>
      </c>
      <c r="H135" s="51"/>
      <c r="J135" s="330">
        <f t="shared" si="40"/>
        <v>0</v>
      </c>
      <c r="K135" s="330">
        <f t="shared" ref="K135:AJ135" si="46" xml:space="preserve"> K115 * (1 - K80) + K49</f>
        <v>0</v>
      </c>
      <c r="L135" s="330">
        <f t="shared" si="46"/>
        <v>0</v>
      </c>
      <c r="M135" s="330">
        <f t="shared" si="46"/>
        <v>0</v>
      </c>
      <c r="N135" s="330">
        <f t="shared" si="46"/>
        <v>0</v>
      </c>
      <c r="O135" s="330">
        <f t="shared" si="46"/>
        <v>0</v>
      </c>
      <c r="P135" s="330">
        <f t="shared" si="46"/>
        <v>0</v>
      </c>
      <c r="Q135" s="330">
        <f t="shared" si="46"/>
        <v>0</v>
      </c>
      <c r="R135" s="330">
        <f t="shared" si="46"/>
        <v>6.7257008115391601</v>
      </c>
      <c r="S135" s="330">
        <f t="shared" si="46"/>
        <v>6.7257008115391601</v>
      </c>
      <c r="T135" s="330">
        <f t="shared" si="46"/>
        <v>6.7257008115391601</v>
      </c>
      <c r="U135" s="330">
        <f t="shared" si="46"/>
        <v>6.7257008115391601</v>
      </c>
      <c r="V135" s="330">
        <f t="shared" si="46"/>
        <v>6.7257008115391601</v>
      </c>
      <c r="W135" s="79"/>
      <c r="X135" s="79"/>
      <c r="Y135" s="79"/>
      <c r="Z135" s="79"/>
      <c r="AA135" s="79"/>
      <c r="AB135" s="79"/>
      <c r="AC135" s="79"/>
      <c r="AD135" s="79"/>
      <c r="AE135" s="79"/>
      <c r="AF135" s="79"/>
      <c r="AG135" s="330">
        <f t="shared" si="46"/>
        <v>0</v>
      </c>
      <c r="AH135" s="330">
        <f t="shared" si="46"/>
        <v>0</v>
      </c>
      <c r="AI135" s="79"/>
      <c r="AJ135" s="330">
        <f t="shared" si="46"/>
        <v>0</v>
      </c>
      <c r="AK135" s="79"/>
      <c r="AL135" s="79"/>
      <c r="AM135" s="79"/>
      <c r="AN135" s="79"/>
      <c r="AO135" s="79"/>
    </row>
    <row r="136" spans="3:43" x14ac:dyDescent="0.35">
      <c r="E136" s="88"/>
      <c r="F136" s="37" t="s">
        <v>162</v>
      </c>
      <c r="G136" s="37" t="s">
        <v>272</v>
      </c>
      <c r="H136" s="283"/>
      <c r="I136" s="269"/>
      <c r="J136" s="284">
        <f t="shared" si="40"/>
        <v>0</v>
      </c>
      <c r="K136" s="284">
        <f t="shared" ref="K136:AJ136" si="47" xml:space="preserve"> K116 * (1 - K81) + K50</f>
        <v>0</v>
      </c>
      <c r="L136" s="284">
        <f t="shared" si="47"/>
        <v>0</v>
      </c>
      <c r="M136" s="284">
        <f t="shared" si="47"/>
        <v>0</v>
      </c>
      <c r="N136" s="284">
        <f t="shared" si="47"/>
        <v>0</v>
      </c>
      <c r="O136" s="284">
        <f t="shared" si="47"/>
        <v>0</v>
      </c>
      <c r="P136" s="284">
        <f t="shared" si="47"/>
        <v>0</v>
      </c>
      <c r="Q136" s="284">
        <f t="shared" si="47"/>
        <v>0</v>
      </c>
      <c r="R136" s="284">
        <f t="shared" si="47"/>
        <v>0.20494135326452301</v>
      </c>
      <c r="S136" s="284">
        <f t="shared" si="47"/>
        <v>0.20494135326452301</v>
      </c>
      <c r="T136" s="284">
        <f t="shared" si="47"/>
        <v>0.20494135326452301</v>
      </c>
      <c r="U136" s="284">
        <f t="shared" si="47"/>
        <v>0.20494135326452301</v>
      </c>
      <c r="V136" s="284">
        <f t="shared" si="47"/>
        <v>0.20494135326452301</v>
      </c>
      <c r="W136" s="270"/>
      <c r="X136" s="270"/>
      <c r="Y136" s="270"/>
      <c r="Z136" s="270"/>
      <c r="AA136" s="270"/>
      <c r="AB136" s="270"/>
      <c r="AC136" s="270"/>
      <c r="AD136" s="270"/>
      <c r="AE136" s="270"/>
      <c r="AF136" s="270"/>
      <c r="AG136" s="284">
        <f t="shared" si="47"/>
        <v>0</v>
      </c>
      <c r="AH136" s="284">
        <f t="shared" si="47"/>
        <v>0</v>
      </c>
      <c r="AI136" s="270"/>
      <c r="AJ136" s="284">
        <f t="shared" si="47"/>
        <v>0.28408916936135709</v>
      </c>
      <c r="AK136" s="270"/>
      <c r="AL136" s="270"/>
      <c r="AM136" s="270"/>
      <c r="AN136" s="270"/>
      <c r="AO136" s="270"/>
      <c r="AP136" s="267"/>
      <c r="AQ136" s="267"/>
    </row>
    <row r="137" spans="3:43" x14ac:dyDescent="0.35">
      <c r="E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35">
      <c r="E138" s="32" t="s">
        <v>892</v>
      </c>
      <c r="I138" t="s">
        <v>154</v>
      </c>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Q138" t="s">
        <v>899</v>
      </c>
    </row>
    <row r="139" spans="3:43" x14ac:dyDescent="0.35">
      <c r="C139" s="88"/>
      <c r="F139" s="23" t="s">
        <v>156</v>
      </c>
      <c r="G139" s="23" t="s">
        <v>269</v>
      </c>
      <c r="H139" s="278"/>
      <c r="I139" s="266"/>
      <c r="J139" s="281">
        <f t="shared" ref="J139:J145" si="48">J110 * (1 - J84) + J44</f>
        <v>4.0937410910088952</v>
      </c>
      <c r="K139" s="281">
        <f t="shared" ref="K139:AN139" si="49">K110 * (1 - K84) + K44</f>
        <v>4.0937410910088952</v>
      </c>
      <c r="L139" s="281">
        <f t="shared" si="49"/>
        <v>4.6977108425693057</v>
      </c>
      <c r="M139" s="281">
        <f t="shared" si="49"/>
        <v>4.6977108425693057</v>
      </c>
      <c r="N139" s="281">
        <f t="shared" si="49"/>
        <v>4.6977108425693057</v>
      </c>
      <c r="O139" s="281">
        <f t="shared" si="49"/>
        <v>4.6977108425693057</v>
      </c>
      <c r="P139" s="281">
        <f t="shared" si="49"/>
        <v>4.6977108425693057</v>
      </c>
      <c r="Q139" s="281">
        <f t="shared" si="49"/>
        <v>4.6977108425693057</v>
      </c>
      <c r="R139" s="281">
        <f t="shared" si="49"/>
        <v>3.3860907282413035</v>
      </c>
      <c r="S139" s="281">
        <f t="shared" si="49"/>
        <v>3.3860907282413035</v>
      </c>
      <c r="T139" s="281">
        <f t="shared" si="49"/>
        <v>3.3860907282413035</v>
      </c>
      <c r="U139" s="281">
        <f t="shared" si="49"/>
        <v>3.3860907282413035</v>
      </c>
      <c r="V139" s="281">
        <f t="shared" si="49"/>
        <v>3.3860907282413035</v>
      </c>
      <c r="W139" s="281">
        <f t="shared" si="49"/>
        <v>2.527360381933025</v>
      </c>
      <c r="X139" s="281">
        <f t="shared" si="49"/>
        <v>2.527360381933025</v>
      </c>
      <c r="Y139" s="281">
        <f t="shared" si="49"/>
        <v>2.527360381933025</v>
      </c>
      <c r="Z139" s="281">
        <f t="shared" si="49"/>
        <v>2.527360381933025</v>
      </c>
      <c r="AA139" s="281">
        <f t="shared" si="49"/>
        <v>2.527360381933025</v>
      </c>
      <c r="AB139" s="281">
        <f t="shared" si="49"/>
        <v>1.9326494862533092</v>
      </c>
      <c r="AC139" s="281">
        <f t="shared" si="49"/>
        <v>1.9326494862533092</v>
      </c>
      <c r="AD139" s="281">
        <f t="shared" si="49"/>
        <v>1.9326494862533092</v>
      </c>
      <c r="AE139" s="281">
        <f t="shared" si="49"/>
        <v>1.9326494862533092</v>
      </c>
      <c r="AF139" s="281">
        <f t="shared" si="49"/>
        <v>1.9326494862533092</v>
      </c>
      <c r="AG139" s="281">
        <f t="shared" si="49"/>
        <v>8.1398857156465461</v>
      </c>
      <c r="AH139" s="281">
        <f t="shared" si="49"/>
        <v>-6.7703858572355928</v>
      </c>
      <c r="AI139" s="281">
        <f t="shared" si="49"/>
        <v>-6.0634483873977167</v>
      </c>
      <c r="AJ139" s="281">
        <f t="shared" si="49"/>
        <v>-6.7703858572355928</v>
      </c>
      <c r="AK139" s="280"/>
      <c r="AL139" s="281">
        <f t="shared" si="49"/>
        <v>-6.0634483873977167</v>
      </c>
      <c r="AM139" s="280"/>
      <c r="AN139" s="281">
        <f t="shared" si="49"/>
        <v>-3.3990502940098173</v>
      </c>
      <c r="AO139" s="280"/>
      <c r="AP139" s="267"/>
      <c r="AQ139" s="267"/>
    </row>
    <row r="140" spans="3:43" x14ac:dyDescent="0.35">
      <c r="C140" s="88"/>
      <c r="F140" t="s">
        <v>157</v>
      </c>
      <c r="G140" t="s">
        <v>269</v>
      </c>
      <c r="H140" s="279"/>
      <c r="I140" s="267"/>
      <c r="J140" s="329">
        <f t="shared" si="48"/>
        <v>0.85103038635786521</v>
      </c>
      <c r="K140" s="329">
        <f t="shared" ref="K140:AN140" si="50">K111 * (1 - K85) + K45</f>
        <v>0.85103038635786521</v>
      </c>
      <c r="L140" s="329">
        <f t="shared" si="50"/>
        <v>0.97658708366532665</v>
      </c>
      <c r="M140" s="329">
        <f t="shared" si="50"/>
        <v>0.97658708366532665</v>
      </c>
      <c r="N140" s="329">
        <f t="shared" si="50"/>
        <v>0.97658708366532665</v>
      </c>
      <c r="O140" s="329">
        <f t="shared" si="50"/>
        <v>0.97658708366532665</v>
      </c>
      <c r="P140" s="329">
        <f t="shared" si="50"/>
        <v>0.97658708366532665</v>
      </c>
      <c r="Q140" s="329">
        <f t="shared" si="50"/>
        <v>0.97658708366532665</v>
      </c>
      <c r="R140" s="329">
        <f t="shared" si="50"/>
        <v>0.68540052672887963</v>
      </c>
      <c r="S140" s="329">
        <f t="shared" si="50"/>
        <v>0.68540052672887963</v>
      </c>
      <c r="T140" s="329">
        <f t="shared" si="50"/>
        <v>0.68540052672887963</v>
      </c>
      <c r="U140" s="329">
        <f t="shared" si="50"/>
        <v>0.68540052672887963</v>
      </c>
      <c r="V140" s="329">
        <f t="shared" si="50"/>
        <v>0.68540052672887963</v>
      </c>
      <c r="W140" s="329">
        <f t="shared" si="50"/>
        <v>0.45740801415202881</v>
      </c>
      <c r="X140" s="329">
        <f t="shared" si="50"/>
        <v>0.45740801415202881</v>
      </c>
      <c r="Y140" s="329">
        <f t="shared" si="50"/>
        <v>0.45740801415202881</v>
      </c>
      <c r="Z140" s="329">
        <f t="shared" si="50"/>
        <v>0.45740801415202881</v>
      </c>
      <c r="AA140" s="329">
        <f t="shared" si="50"/>
        <v>0.45740801415202881</v>
      </c>
      <c r="AB140" s="329">
        <f t="shared" si="50"/>
        <v>0.33527098783563974</v>
      </c>
      <c r="AC140" s="329">
        <f t="shared" si="50"/>
        <v>0.33527098783563974</v>
      </c>
      <c r="AD140" s="329">
        <f t="shared" si="50"/>
        <v>0.33527098783563974</v>
      </c>
      <c r="AE140" s="329">
        <f t="shared" si="50"/>
        <v>0.33527098783563974</v>
      </c>
      <c r="AF140" s="329">
        <f t="shared" si="50"/>
        <v>0.33527098783563974</v>
      </c>
      <c r="AG140" s="329">
        <f t="shared" si="50"/>
        <v>2.2857231293372218</v>
      </c>
      <c r="AH140" s="329">
        <f t="shared" si="50"/>
        <v>-1.4074666579500381</v>
      </c>
      <c r="AI140" s="329">
        <f t="shared" si="50"/>
        <v>-1.2460008567520371</v>
      </c>
      <c r="AJ140" s="329">
        <f t="shared" si="50"/>
        <v>-1.4074666579500381</v>
      </c>
      <c r="AK140" s="268"/>
      <c r="AL140" s="329">
        <f t="shared" si="50"/>
        <v>-1.2460008567520371</v>
      </c>
      <c r="AM140" s="268"/>
      <c r="AN140" s="329">
        <f t="shared" si="50"/>
        <v>-0.61509915250322988</v>
      </c>
      <c r="AO140" s="268"/>
      <c r="AP140" s="267"/>
      <c r="AQ140" s="267"/>
    </row>
    <row r="141" spans="3:43" x14ac:dyDescent="0.35">
      <c r="C141" s="88"/>
      <c r="F141" t="s">
        <v>158</v>
      </c>
      <c r="G141" t="s">
        <v>269</v>
      </c>
      <c r="H141" s="279"/>
      <c r="I141" s="267"/>
      <c r="J141" s="329">
        <f t="shared" si="48"/>
        <v>0.29621659081751583</v>
      </c>
      <c r="K141" s="329">
        <f t="shared" ref="K141:AN141" si="51">K112 * (1 - K86) + K46</f>
        <v>0.29621659081751583</v>
      </c>
      <c r="L141" s="329">
        <f t="shared" si="51"/>
        <v>0.33991888092009681</v>
      </c>
      <c r="M141" s="329">
        <f t="shared" si="51"/>
        <v>0.33991888092009681</v>
      </c>
      <c r="N141" s="329">
        <f t="shared" si="51"/>
        <v>0.33991888092009681</v>
      </c>
      <c r="O141" s="329">
        <f t="shared" si="51"/>
        <v>0.33991888092009681</v>
      </c>
      <c r="P141" s="329">
        <f t="shared" si="51"/>
        <v>0.33991888092009681</v>
      </c>
      <c r="Q141" s="329">
        <f t="shared" si="51"/>
        <v>0.33991888092009681</v>
      </c>
      <c r="R141" s="329">
        <f t="shared" si="51"/>
        <v>0.2404849342115907</v>
      </c>
      <c r="S141" s="329">
        <f t="shared" si="51"/>
        <v>0.2404849342115907</v>
      </c>
      <c r="T141" s="329">
        <f t="shared" si="51"/>
        <v>0.2404849342115907</v>
      </c>
      <c r="U141" s="329">
        <f t="shared" si="51"/>
        <v>0.2404849342115907</v>
      </c>
      <c r="V141" s="329">
        <f t="shared" si="51"/>
        <v>0.2404849342115907</v>
      </c>
      <c r="W141" s="329">
        <f t="shared" si="51"/>
        <v>0.16625414370495106</v>
      </c>
      <c r="X141" s="329">
        <f t="shared" si="51"/>
        <v>0.16625414370495106</v>
      </c>
      <c r="Y141" s="329">
        <f t="shared" si="51"/>
        <v>0.16625414370495106</v>
      </c>
      <c r="Z141" s="329">
        <f t="shared" si="51"/>
        <v>0.16625414370495106</v>
      </c>
      <c r="AA141" s="329">
        <f t="shared" si="51"/>
        <v>0.16625414370495106</v>
      </c>
      <c r="AB141" s="329">
        <f t="shared" si="51"/>
        <v>0.13013954145066534</v>
      </c>
      <c r="AC141" s="329">
        <f t="shared" si="51"/>
        <v>0.13013954145066534</v>
      </c>
      <c r="AD141" s="329">
        <f t="shared" si="51"/>
        <v>0.13013954145066534</v>
      </c>
      <c r="AE141" s="329">
        <f t="shared" si="51"/>
        <v>0.13013954145066534</v>
      </c>
      <c r="AF141" s="329">
        <f t="shared" si="51"/>
        <v>0.13013954145066534</v>
      </c>
      <c r="AG141" s="329">
        <f t="shared" si="51"/>
        <v>1.8336365943647779</v>
      </c>
      <c r="AH141" s="329">
        <f t="shared" si="51"/>
        <v>-0.48989434665375964</v>
      </c>
      <c r="AI141" s="329">
        <f t="shared" si="51"/>
        <v>-0.43519597745109795</v>
      </c>
      <c r="AJ141" s="329">
        <f t="shared" si="51"/>
        <v>-0.48989434665375964</v>
      </c>
      <c r="AK141" s="268"/>
      <c r="AL141" s="329">
        <f t="shared" si="51"/>
        <v>-0.43519597745109795</v>
      </c>
      <c r="AM141" s="268"/>
      <c r="AN141" s="329">
        <f t="shared" si="51"/>
        <v>-0.22360981889651921</v>
      </c>
      <c r="AO141" s="268"/>
      <c r="AP141" s="267"/>
      <c r="AQ141" s="267"/>
    </row>
    <row r="142" spans="3:43" x14ac:dyDescent="0.35">
      <c r="C142" s="88"/>
      <c r="F142" t="s">
        <v>159</v>
      </c>
      <c r="G142" t="s">
        <v>270</v>
      </c>
      <c r="H142" s="51"/>
      <c r="J142" s="330">
        <f t="shared" si="48"/>
        <v>18.142733165967094</v>
      </c>
      <c r="K142" s="330">
        <f t="shared" ref="K142:AN142" si="52">K113 * (1 - K87) + K47</f>
        <v>0</v>
      </c>
      <c r="L142" s="330">
        <f t="shared" si="52"/>
        <v>4.8741447477014841</v>
      </c>
      <c r="M142" s="330">
        <f t="shared" si="52"/>
        <v>6.2803430766050674</v>
      </c>
      <c r="N142" s="330">
        <f t="shared" si="52"/>
        <v>13.195293437011287</v>
      </c>
      <c r="O142" s="330">
        <f t="shared" si="52"/>
        <v>25.407773637345286</v>
      </c>
      <c r="P142" s="330">
        <f t="shared" si="52"/>
        <v>72.060397719403284</v>
      </c>
      <c r="Q142" s="330">
        <f t="shared" si="52"/>
        <v>0</v>
      </c>
      <c r="R142" s="330">
        <f t="shared" si="52"/>
        <v>12.728141418979783</v>
      </c>
      <c r="S142" s="330">
        <f t="shared" si="52"/>
        <v>118.44326446025602</v>
      </c>
      <c r="T142" s="330">
        <f t="shared" si="52"/>
        <v>211.78880149738373</v>
      </c>
      <c r="U142" s="330">
        <f t="shared" si="52"/>
        <v>344.49358840367927</v>
      </c>
      <c r="V142" s="330">
        <f t="shared" si="52"/>
        <v>788.43058840576725</v>
      </c>
      <c r="W142" s="330">
        <f t="shared" si="52"/>
        <v>43.08715616547493</v>
      </c>
      <c r="X142" s="330">
        <f t="shared" si="52"/>
        <v>195.70227805757182</v>
      </c>
      <c r="Y142" s="330">
        <f t="shared" si="52"/>
        <v>330.4601074311629</v>
      </c>
      <c r="Z142" s="330">
        <f t="shared" si="52"/>
        <v>522.03872595541486</v>
      </c>
      <c r="AA142" s="330">
        <f t="shared" si="52"/>
        <v>1162.9262112897225</v>
      </c>
      <c r="AB142" s="330">
        <f t="shared" si="52"/>
        <v>237.59598275766615</v>
      </c>
      <c r="AC142" s="330">
        <f t="shared" si="52"/>
        <v>547.02139361950549</v>
      </c>
      <c r="AD142" s="330">
        <f t="shared" si="52"/>
        <v>2645.4901480601038</v>
      </c>
      <c r="AE142" s="330">
        <f t="shared" si="52"/>
        <v>5416.7779440396707</v>
      </c>
      <c r="AF142" s="330">
        <f t="shared" si="52"/>
        <v>11611.579829900513</v>
      </c>
      <c r="AG142" s="330">
        <f t="shared" si="52"/>
        <v>0</v>
      </c>
      <c r="AH142" s="330">
        <f t="shared" si="52"/>
        <v>0</v>
      </c>
      <c r="AI142" s="330">
        <f t="shared" si="52"/>
        <v>0</v>
      </c>
      <c r="AJ142" s="330">
        <f t="shared" si="52"/>
        <v>0</v>
      </c>
      <c r="AK142" s="79"/>
      <c r="AL142" s="330">
        <f t="shared" si="52"/>
        <v>0</v>
      </c>
      <c r="AM142" s="79"/>
      <c r="AN142" s="330">
        <f t="shared" si="52"/>
        <v>0</v>
      </c>
      <c r="AO142" s="79"/>
    </row>
    <row r="143" spans="3:43" x14ac:dyDescent="0.35">
      <c r="C143" s="88"/>
      <c r="F143" t="s">
        <v>160</v>
      </c>
      <c r="G143" t="s">
        <v>271</v>
      </c>
      <c r="H143" s="51"/>
      <c r="J143" s="330">
        <f t="shared" si="48"/>
        <v>0</v>
      </c>
      <c r="K143" s="330">
        <f t="shared" ref="K143:AN143" si="53">K114 * (1 - K88) + K48</f>
        <v>0</v>
      </c>
      <c r="L143" s="330">
        <f t="shared" si="53"/>
        <v>0</v>
      </c>
      <c r="M143" s="330">
        <f t="shared" si="53"/>
        <v>0</v>
      </c>
      <c r="N143" s="330">
        <f t="shared" si="53"/>
        <v>0</v>
      </c>
      <c r="O143" s="330">
        <f t="shared" si="53"/>
        <v>0</v>
      </c>
      <c r="P143" s="330">
        <f t="shared" si="53"/>
        <v>0</v>
      </c>
      <c r="Q143" s="330">
        <f t="shared" si="53"/>
        <v>0</v>
      </c>
      <c r="R143" s="330">
        <f t="shared" si="53"/>
        <v>2.5455063059843228</v>
      </c>
      <c r="S143" s="330">
        <f t="shared" si="53"/>
        <v>2.5455063059843228</v>
      </c>
      <c r="T143" s="330">
        <f t="shared" si="53"/>
        <v>2.5455063059843228</v>
      </c>
      <c r="U143" s="330">
        <f t="shared" si="53"/>
        <v>2.5455063059843228</v>
      </c>
      <c r="V143" s="330">
        <f t="shared" si="53"/>
        <v>2.5455063059843228</v>
      </c>
      <c r="W143" s="330">
        <f t="shared" si="53"/>
        <v>5.8226834220097645</v>
      </c>
      <c r="X143" s="330">
        <f t="shared" si="53"/>
        <v>5.8226834220097645</v>
      </c>
      <c r="Y143" s="330">
        <f t="shared" si="53"/>
        <v>5.8226834220097645</v>
      </c>
      <c r="Z143" s="330">
        <f t="shared" si="53"/>
        <v>5.8226834220097645</v>
      </c>
      <c r="AA143" s="330">
        <f t="shared" si="53"/>
        <v>5.8226834220097645</v>
      </c>
      <c r="AB143" s="330">
        <f t="shared" si="53"/>
        <v>8.6009478816796605</v>
      </c>
      <c r="AC143" s="330">
        <f t="shared" si="53"/>
        <v>8.6009478816796605</v>
      </c>
      <c r="AD143" s="330">
        <f t="shared" si="53"/>
        <v>8.6009478816796605</v>
      </c>
      <c r="AE143" s="330">
        <f t="shared" si="53"/>
        <v>8.6009478816796605</v>
      </c>
      <c r="AF143" s="330">
        <f t="shared" si="53"/>
        <v>8.6009478816796605</v>
      </c>
      <c r="AG143" s="330">
        <f t="shared" si="53"/>
        <v>0</v>
      </c>
      <c r="AH143" s="330">
        <f t="shared" si="53"/>
        <v>0</v>
      </c>
      <c r="AI143" s="330">
        <f t="shared" si="53"/>
        <v>0</v>
      </c>
      <c r="AJ143" s="330">
        <f t="shared" si="53"/>
        <v>0</v>
      </c>
      <c r="AK143" s="79"/>
      <c r="AL143" s="330">
        <f t="shared" si="53"/>
        <v>0</v>
      </c>
      <c r="AM143" s="79"/>
      <c r="AN143" s="330">
        <f t="shared" si="53"/>
        <v>0</v>
      </c>
      <c r="AO143" s="79"/>
    </row>
    <row r="144" spans="3:43" x14ac:dyDescent="0.35">
      <c r="C144" s="88"/>
      <c r="F144" t="s">
        <v>161</v>
      </c>
      <c r="G144" t="s">
        <v>271</v>
      </c>
      <c r="H144" s="51"/>
      <c r="J144" s="330">
        <f t="shared" si="48"/>
        <v>0</v>
      </c>
      <c r="K144" s="330">
        <f t="shared" ref="K144:AN144" si="54">K115 * (1 - K89) + K49</f>
        <v>0</v>
      </c>
      <c r="L144" s="330">
        <f t="shared" si="54"/>
        <v>0</v>
      </c>
      <c r="M144" s="330">
        <f t="shared" si="54"/>
        <v>0</v>
      </c>
      <c r="N144" s="330">
        <f t="shared" si="54"/>
        <v>0</v>
      </c>
      <c r="O144" s="330">
        <f t="shared" si="54"/>
        <v>0</v>
      </c>
      <c r="P144" s="330">
        <f t="shared" si="54"/>
        <v>0</v>
      </c>
      <c r="Q144" s="330">
        <f t="shared" si="54"/>
        <v>0</v>
      </c>
      <c r="R144" s="330">
        <f t="shared" si="54"/>
        <v>4.4511813901160879</v>
      </c>
      <c r="S144" s="330">
        <f t="shared" si="54"/>
        <v>4.4511813901160879</v>
      </c>
      <c r="T144" s="330">
        <f t="shared" si="54"/>
        <v>4.4511813901160879</v>
      </c>
      <c r="U144" s="330">
        <f t="shared" si="54"/>
        <v>4.4511813901160879</v>
      </c>
      <c r="V144" s="330">
        <f t="shared" si="54"/>
        <v>4.4511813901160879</v>
      </c>
      <c r="W144" s="330">
        <f t="shared" si="54"/>
        <v>7.8842225373089247</v>
      </c>
      <c r="X144" s="330">
        <f t="shared" si="54"/>
        <v>7.8842225373089247</v>
      </c>
      <c r="Y144" s="330">
        <f t="shared" si="54"/>
        <v>7.8842225373089247</v>
      </c>
      <c r="Z144" s="330">
        <f t="shared" si="54"/>
        <v>7.8842225373089247</v>
      </c>
      <c r="AA144" s="330">
        <f t="shared" si="54"/>
        <v>7.8842225373089247</v>
      </c>
      <c r="AB144" s="330">
        <f t="shared" si="54"/>
        <v>10.008649123562785</v>
      </c>
      <c r="AC144" s="330">
        <f t="shared" si="54"/>
        <v>10.008649123562785</v>
      </c>
      <c r="AD144" s="330">
        <f t="shared" si="54"/>
        <v>10.008649123562785</v>
      </c>
      <c r="AE144" s="330">
        <f t="shared" si="54"/>
        <v>10.008649123562785</v>
      </c>
      <c r="AF144" s="330">
        <f t="shared" si="54"/>
        <v>10.008649123562785</v>
      </c>
      <c r="AG144" s="330">
        <f t="shared" si="54"/>
        <v>0</v>
      </c>
      <c r="AH144" s="330">
        <f t="shared" si="54"/>
        <v>0</v>
      </c>
      <c r="AI144" s="330">
        <f t="shared" si="54"/>
        <v>0</v>
      </c>
      <c r="AJ144" s="330">
        <f t="shared" si="54"/>
        <v>0</v>
      </c>
      <c r="AK144" s="79"/>
      <c r="AL144" s="330">
        <f t="shared" si="54"/>
        <v>0</v>
      </c>
      <c r="AM144" s="79"/>
      <c r="AN144" s="330">
        <f t="shared" si="54"/>
        <v>0</v>
      </c>
      <c r="AO144" s="79"/>
    </row>
    <row r="145" spans="1:43" x14ac:dyDescent="0.35">
      <c r="C145" s="88"/>
      <c r="F145" s="37" t="s">
        <v>162</v>
      </c>
      <c r="G145" s="37" t="s">
        <v>272</v>
      </c>
      <c r="H145" s="283"/>
      <c r="I145" s="269"/>
      <c r="J145" s="284">
        <f t="shared" si="48"/>
        <v>0</v>
      </c>
      <c r="K145" s="284">
        <f t="shared" ref="K145:AN145" si="55">K116 * (1 - K90) + K50</f>
        <v>0</v>
      </c>
      <c r="L145" s="284">
        <f t="shared" si="55"/>
        <v>0</v>
      </c>
      <c r="M145" s="284">
        <f t="shared" si="55"/>
        <v>0</v>
      </c>
      <c r="N145" s="284">
        <f t="shared" si="55"/>
        <v>0</v>
      </c>
      <c r="O145" s="284">
        <f t="shared" si="55"/>
        <v>0</v>
      </c>
      <c r="P145" s="284">
        <f t="shared" si="55"/>
        <v>0</v>
      </c>
      <c r="Q145" s="284">
        <f t="shared" si="55"/>
        <v>0</v>
      </c>
      <c r="R145" s="284">
        <f t="shared" si="55"/>
        <v>0.13563361845521787</v>
      </c>
      <c r="S145" s="284">
        <f t="shared" si="55"/>
        <v>0.13563361845521787</v>
      </c>
      <c r="T145" s="284">
        <f t="shared" si="55"/>
        <v>0.13563361845521787</v>
      </c>
      <c r="U145" s="284">
        <f t="shared" si="55"/>
        <v>0.13563361845521787</v>
      </c>
      <c r="V145" s="284">
        <f t="shared" si="55"/>
        <v>0.13563361845521787</v>
      </c>
      <c r="W145" s="284">
        <f t="shared" si="55"/>
        <v>9.2683778207643133E-2</v>
      </c>
      <c r="X145" s="284">
        <f t="shared" si="55"/>
        <v>9.2683778207643133E-2</v>
      </c>
      <c r="Y145" s="284">
        <f t="shared" si="55"/>
        <v>9.2683778207643133E-2</v>
      </c>
      <c r="Z145" s="284">
        <f t="shared" si="55"/>
        <v>9.2683778207643133E-2</v>
      </c>
      <c r="AA145" s="284">
        <f t="shared" si="55"/>
        <v>9.2683778207643133E-2</v>
      </c>
      <c r="AB145" s="284">
        <f t="shared" si="55"/>
        <v>6.8727620770884637E-2</v>
      </c>
      <c r="AC145" s="284">
        <f t="shared" si="55"/>
        <v>6.8727620770884637E-2</v>
      </c>
      <c r="AD145" s="284">
        <f t="shared" si="55"/>
        <v>6.8727620770884637E-2</v>
      </c>
      <c r="AE145" s="284">
        <f t="shared" si="55"/>
        <v>6.8727620770884637E-2</v>
      </c>
      <c r="AF145" s="284">
        <f t="shared" si="55"/>
        <v>6.8727620770884637E-2</v>
      </c>
      <c r="AG145" s="284">
        <f t="shared" si="55"/>
        <v>0</v>
      </c>
      <c r="AH145" s="284">
        <f t="shared" si="55"/>
        <v>0</v>
      </c>
      <c r="AI145" s="284">
        <f t="shared" si="55"/>
        <v>0</v>
      </c>
      <c r="AJ145" s="284">
        <f t="shared" si="55"/>
        <v>0.28408916936135709</v>
      </c>
      <c r="AK145" s="270"/>
      <c r="AL145" s="284">
        <f t="shared" si="55"/>
        <v>0.23757355377153469</v>
      </c>
      <c r="AM145" s="270"/>
      <c r="AN145" s="284">
        <f t="shared" si="55"/>
        <v>0.21638006796957138</v>
      </c>
      <c r="AO145" s="270"/>
      <c r="AP145" s="267"/>
      <c r="AQ145" s="267"/>
    </row>
    <row r="146" spans="1:43" x14ac:dyDescent="0.3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x14ac:dyDescent="0.35">
      <c r="C147" s="31" t="str">
        <f ca="1">INDEX('Version control'!$H$34:$H$57,MATCH($A$1,'Version control'!$F$34:$F$57,0),1)&amp;"-H: Tariff forecast, post-rounding"</f>
        <v>Section 117-H: Tariff forecast, post-rounding</v>
      </c>
      <c r="D147" s="31"/>
      <c r="E147" s="31"/>
      <c r="F147" s="31"/>
      <c r="G147" s="31"/>
      <c r="H147" s="31"/>
      <c r="I147" s="31"/>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31"/>
      <c r="AQ147" s="31"/>
    </row>
    <row r="148" spans="1:43" x14ac:dyDescent="0.35">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row>
    <row r="149" spans="1:43" x14ac:dyDescent="0.35">
      <c r="E149" s="32" t="s">
        <v>754</v>
      </c>
      <c r="F149" s="32"/>
      <c r="I149" t="s">
        <v>154</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Q149" t="s">
        <v>155</v>
      </c>
    </row>
    <row r="150" spans="1:43" x14ac:dyDescent="0.35">
      <c r="E150" s="88"/>
      <c r="F150" s="23" t="s">
        <v>156</v>
      </c>
      <c r="G150" s="23" t="s">
        <v>269</v>
      </c>
      <c r="H150" s="278"/>
      <c r="I150" s="266"/>
      <c r="J150" s="271">
        <f t="shared" ref="J150" si="56">ROUND(J121, $H95)</f>
        <v>8.7579999999999991</v>
      </c>
      <c r="K150" s="271">
        <f t="shared" ref="K150:AO150" si="57">ROUND(K121, $H95)</f>
        <v>8.7579999999999991</v>
      </c>
      <c r="L150" s="271">
        <f t="shared" si="57"/>
        <v>10.050000000000001</v>
      </c>
      <c r="M150" s="271">
        <f t="shared" si="57"/>
        <v>10.050000000000001</v>
      </c>
      <c r="N150" s="271">
        <f t="shared" si="57"/>
        <v>10.050000000000001</v>
      </c>
      <c r="O150" s="271">
        <f t="shared" si="57"/>
        <v>10.050000000000001</v>
      </c>
      <c r="P150" s="271">
        <f t="shared" si="57"/>
        <v>10.050000000000001</v>
      </c>
      <c r="Q150" s="271">
        <f t="shared" si="57"/>
        <v>10.050000000000001</v>
      </c>
      <c r="R150" s="271">
        <f t="shared" si="57"/>
        <v>7.2439999999999998</v>
      </c>
      <c r="S150" s="271">
        <f t="shared" si="57"/>
        <v>7.2439999999999998</v>
      </c>
      <c r="T150" s="271">
        <f t="shared" si="57"/>
        <v>7.2439999999999998</v>
      </c>
      <c r="U150" s="271">
        <f t="shared" si="57"/>
        <v>7.2439999999999998</v>
      </c>
      <c r="V150" s="271">
        <f t="shared" si="57"/>
        <v>7.2439999999999998</v>
      </c>
      <c r="W150" s="271">
        <f t="shared" si="57"/>
        <v>3.7450000000000001</v>
      </c>
      <c r="X150" s="271">
        <f t="shared" si="57"/>
        <v>3.7450000000000001</v>
      </c>
      <c r="Y150" s="271">
        <f t="shared" si="57"/>
        <v>3.7450000000000001</v>
      </c>
      <c r="Z150" s="271">
        <f t="shared" si="57"/>
        <v>3.7450000000000001</v>
      </c>
      <c r="AA150" s="271">
        <f t="shared" si="57"/>
        <v>3.7450000000000001</v>
      </c>
      <c r="AB150" s="271">
        <f t="shared" si="57"/>
        <v>2.62</v>
      </c>
      <c r="AC150" s="271">
        <f t="shared" si="57"/>
        <v>2.62</v>
      </c>
      <c r="AD150" s="271">
        <f t="shared" si="57"/>
        <v>2.62</v>
      </c>
      <c r="AE150" s="271">
        <f t="shared" si="57"/>
        <v>2.62</v>
      </c>
      <c r="AF150" s="271">
        <f t="shared" si="57"/>
        <v>2.62</v>
      </c>
      <c r="AG150" s="271">
        <f t="shared" si="57"/>
        <v>17.414000000000001</v>
      </c>
      <c r="AH150" s="271">
        <f t="shared" si="57"/>
        <v>-6.77</v>
      </c>
      <c r="AI150" s="271">
        <f t="shared" si="57"/>
        <v>-6.0629999999999997</v>
      </c>
      <c r="AJ150" s="271">
        <f t="shared" si="57"/>
        <v>-6.77</v>
      </c>
      <c r="AK150" s="271">
        <f t="shared" si="57"/>
        <v>-6.77</v>
      </c>
      <c r="AL150" s="271">
        <f t="shared" si="57"/>
        <v>-6.0629999999999997</v>
      </c>
      <c r="AM150" s="271">
        <f t="shared" si="57"/>
        <v>-6.0629999999999997</v>
      </c>
      <c r="AN150" s="271">
        <f t="shared" si="57"/>
        <v>-3.399</v>
      </c>
      <c r="AO150" s="271">
        <f t="shared" si="57"/>
        <v>-3.399</v>
      </c>
      <c r="AP150" s="267"/>
      <c r="AQ150" s="267"/>
    </row>
    <row r="151" spans="1:43" x14ac:dyDescent="0.35">
      <c r="E151" s="88"/>
      <c r="F151" t="s">
        <v>157</v>
      </c>
      <c r="G151" t="s">
        <v>269</v>
      </c>
      <c r="H151" s="279"/>
      <c r="I151" s="267"/>
      <c r="J151" s="272">
        <f t="shared" ref="J151:J156" si="58">ROUND(J122, $H96)</f>
        <v>1.821</v>
      </c>
      <c r="K151" s="272">
        <f t="shared" ref="K151:AO151" si="59">ROUND(K122, $H96)</f>
        <v>1.821</v>
      </c>
      <c r="L151" s="272">
        <f t="shared" si="59"/>
        <v>2.089</v>
      </c>
      <c r="M151" s="272">
        <f t="shared" si="59"/>
        <v>2.089</v>
      </c>
      <c r="N151" s="272">
        <f t="shared" si="59"/>
        <v>2.089</v>
      </c>
      <c r="O151" s="272">
        <f t="shared" si="59"/>
        <v>2.089</v>
      </c>
      <c r="P151" s="272">
        <f t="shared" si="59"/>
        <v>2.089</v>
      </c>
      <c r="Q151" s="272">
        <f t="shared" si="59"/>
        <v>2.089</v>
      </c>
      <c r="R151" s="272">
        <f t="shared" si="59"/>
        <v>1.466</v>
      </c>
      <c r="S151" s="272">
        <f t="shared" si="59"/>
        <v>1.466</v>
      </c>
      <c r="T151" s="272">
        <f t="shared" si="59"/>
        <v>1.466</v>
      </c>
      <c r="U151" s="272">
        <f t="shared" si="59"/>
        <v>1.466</v>
      </c>
      <c r="V151" s="272">
        <f t="shared" si="59"/>
        <v>1.466</v>
      </c>
      <c r="W151" s="272">
        <f t="shared" si="59"/>
        <v>0.67800000000000005</v>
      </c>
      <c r="X151" s="272">
        <f t="shared" si="59"/>
        <v>0.67800000000000005</v>
      </c>
      <c r="Y151" s="272">
        <f t="shared" si="59"/>
        <v>0.67800000000000005</v>
      </c>
      <c r="Z151" s="272">
        <f t="shared" si="59"/>
        <v>0.67800000000000005</v>
      </c>
      <c r="AA151" s="272">
        <f t="shared" si="59"/>
        <v>0.67800000000000005</v>
      </c>
      <c r="AB151" s="272">
        <f t="shared" si="59"/>
        <v>0.45500000000000002</v>
      </c>
      <c r="AC151" s="272">
        <f t="shared" si="59"/>
        <v>0.45500000000000002</v>
      </c>
      <c r="AD151" s="272">
        <f t="shared" si="59"/>
        <v>0.45500000000000002</v>
      </c>
      <c r="AE151" s="272">
        <f t="shared" si="59"/>
        <v>0.45500000000000002</v>
      </c>
      <c r="AF151" s="272">
        <f t="shared" si="59"/>
        <v>0.45500000000000002</v>
      </c>
      <c r="AG151" s="272">
        <f t="shared" si="59"/>
        <v>4.8899999999999997</v>
      </c>
      <c r="AH151" s="272">
        <f t="shared" si="59"/>
        <v>-1.407</v>
      </c>
      <c r="AI151" s="272">
        <f t="shared" si="59"/>
        <v>-1.246</v>
      </c>
      <c r="AJ151" s="272">
        <f t="shared" si="59"/>
        <v>-1.407</v>
      </c>
      <c r="AK151" s="272">
        <f t="shared" si="59"/>
        <v>-1.407</v>
      </c>
      <c r="AL151" s="272">
        <f t="shared" si="59"/>
        <v>-1.246</v>
      </c>
      <c r="AM151" s="272">
        <f t="shared" si="59"/>
        <v>-1.246</v>
      </c>
      <c r="AN151" s="272">
        <f t="shared" si="59"/>
        <v>-0.61499999999999999</v>
      </c>
      <c r="AO151" s="272">
        <f t="shared" si="59"/>
        <v>-0.61499999999999999</v>
      </c>
      <c r="AP151" s="267"/>
      <c r="AQ151" s="267"/>
    </row>
    <row r="152" spans="1:43" x14ac:dyDescent="0.35">
      <c r="E152" s="88"/>
      <c r="F152" t="s">
        <v>158</v>
      </c>
      <c r="G152" t="s">
        <v>269</v>
      </c>
      <c r="H152" s="279"/>
      <c r="I152" s="267"/>
      <c r="J152" s="272">
        <f t="shared" si="58"/>
        <v>0.63400000000000001</v>
      </c>
      <c r="K152" s="272">
        <f t="shared" ref="K152:AO152" si="60">ROUND(K123, $H97)</f>
        <v>0.63400000000000001</v>
      </c>
      <c r="L152" s="272">
        <f t="shared" si="60"/>
        <v>0.72699999999999998</v>
      </c>
      <c r="M152" s="272">
        <f t="shared" si="60"/>
        <v>0.72699999999999998</v>
      </c>
      <c r="N152" s="272">
        <f t="shared" si="60"/>
        <v>0.72699999999999998</v>
      </c>
      <c r="O152" s="272">
        <f t="shared" si="60"/>
        <v>0.72699999999999998</v>
      </c>
      <c r="P152" s="272">
        <f t="shared" si="60"/>
        <v>0.72699999999999998</v>
      </c>
      <c r="Q152" s="272">
        <f t="shared" si="60"/>
        <v>0.72699999999999998</v>
      </c>
      <c r="R152" s="272">
        <f t="shared" si="60"/>
        <v>0.51400000000000001</v>
      </c>
      <c r="S152" s="272">
        <f t="shared" si="60"/>
        <v>0.51400000000000001</v>
      </c>
      <c r="T152" s="272">
        <f t="shared" si="60"/>
        <v>0.51400000000000001</v>
      </c>
      <c r="U152" s="272">
        <f t="shared" si="60"/>
        <v>0.51400000000000001</v>
      </c>
      <c r="V152" s="272">
        <f t="shared" si="60"/>
        <v>0.51400000000000001</v>
      </c>
      <c r="W152" s="272">
        <f t="shared" si="60"/>
        <v>0.246</v>
      </c>
      <c r="X152" s="272">
        <f t="shared" si="60"/>
        <v>0.246</v>
      </c>
      <c r="Y152" s="272">
        <f t="shared" si="60"/>
        <v>0.246</v>
      </c>
      <c r="Z152" s="272">
        <f t="shared" si="60"/>
        <v>0.246</v>
      </c>
      <c r="AA152" s="272">
        <f t="shared" si="60"/>
        <v>0.246</v>
      </c>
      <c r="AB152" s="272">
        <f t="shared" si="60"/>
        <v>0.17599999999999999</v>
      </c>
      <c r="AC152" s="272">
        <f t="shared" si="60"/>
        <v>0.17599999999999999</v>
      </c>
      <c r="AD152" s="272">
        <f t="shared" si="60"/>
        <v>0.17599999999999999</v>
      </c>
      <c r="AE152" s="272">
        <f t="shared" si="60"/>
        <v>0.17599999999999999</v>
      </c>
      <c r="AF152" s="272">
        <f t="shared" si="60"/>
        <v>0.17599999999999999</v>
      </c>
      <c r="AG152" s="272">
        <f t="shared" si="60"/>
        <v>3.923</v>
      </c>
      <c r="AH152" s="272">
        <f t="shared" si="60"/>
        <v>-0.49</v>
      </c>
      <c r="AI152" s="272">
        <f t="shared" si="60"/>
        <v>-0.435</v>
      </c>
      <c r="AJ152" s="272">
        <f t="shared" si="60"/>
        <v>-0.49</v>
      </c>
      <c r="AK152" s="272">
        <f t="shared" si="60"/>
        <v>-0.49</v>
      </c>
      <c r="AL152" s="272">
        <f t="shared" si="60"/>
        <v>-0.435</v>
      </c>
      <c r="AM152" s="272">
        <f t="shared" si="60"/>
        <v>-0.435</v>
      </c>
      <c r="AN152" s="272">
        <f t="shared" si="60"/>
        <v>-0.224</v>
      </c>
      <c r="AO152" s="272">
        <f t="shared" si="60"/>
        <v>-0.224</v>
      </c>
      <c r="AP152" s="267"/>
      <c r="AQ152" s="267"/>
    </row>
    <row r="153" spans="1:43" x14ac:dyDescent="0.35">
      <c r="E153" s="88"/>
      <c r="F153" t="s">
        <v>159</v>
      </c>
      <c r="G153" t="s">
        <v>270</v>
      </c>
      <c r="H153" s="51"/>
      <c r="J153" s="121">
        <f t="shared" si="58"/>
        <v>27.51</v>
      </c>
      <c r="K153" s="121">
        <f t="shared" ref="K153:AO153" si="61">ROUND(K124, $H98)</f>
        <v>0</v>
      </c>
      <c r="L153" s="121">
        <f t="shared" si="61"/>
        <v>10.37</v>
      </c>
      <c r="M153" s="121">
        <f t="shared" si="61"/>
        <v>13.38</v>
      </c>
      <c r="N153" s="121">
        <f t="shared" si="61"/>
        <v>28.17</v>
      </c>
      <c r="O153" s="121">
        <f t="shared" si="61"/>
        <v>54.3</v>
      </c>
      <c r="P153" s="121">
        <f t="shared" si="61"/>
        <v>154.1</v>
      </c>
      <c r="Q153" s="121">
        <f t="shared" si="61"/>
        <v>0</v>
      </c>
      <c r="R153" s="121">
        <f t="shared" si="61"/>
        <v>27.17</v>
      </c>
      <c r="S153" s="121">
        <f t="shared" si="61"/>
        <v>253.33</v>
      </c>
      <c r="T153" s="121">
        <f t="shared" si="61"/>
        <v>453.03</v>
      </c>
      <c r="U153" s="121">
        <f t="shared" si="61"/>
        <v>736.93</v>
      </c>
      <c r="V153" s="121">
        <f t="shared" si="61"/>
        <v>1686.66</v>
      </c>
      <c r="W153" s="121">
        <f t="shared" si="61"/>
        <v>63.83</v>
      </c>
      <c r="X153" s="121">
        <f t="shared" si="61"/>
        <v>289.99</v>
      </c>
      <c r="Y153" s="121">
        <f t="shared" si="61"/>
        <v>489.68</v>
      </c>
      <c r="Z153" s="121">
        <f t="shared" si="61"/>
        <v>773.58</v>
      </c>
      <c r="AA153" s="121">
        <f t="shared" si="61"/>
        <v>1723.31</v>
      </c>
      <c r="AB153" s="121">
        <f t="shared" si="61"/>
        <v>322.11</v>
      </c>
      <c r="AC153" s="121">
        <f t="shared" si="61"/>
        <v>741.62</v>
      </c>
      <c r="AD153" s="121">
        <f t="shared" si="61"/>
        <v>3586.67</v>
      </c>
      <c r="AE153" s="121">
        <f t="shared" si="61"/>
        <v>7343.92</v>
      </c>
      <c r="AF153" s="121">
        <f t="shared" si="61"/>
        <v>15742.67</v>
      </c>
      <c r="AG153" s="121">
        <f t="shared" si="61"/>
        <v>0</v>
      </c>
      <c r="AH153" s="121">
        <f t="shared" si="61"/>
        <v>0</v>
      </c>
      <c r="AI153" s="121">
        <f t="shared" si="61"/>
        <v>0</v>
      </c>
      <c r="AJ153" s="121">
        <f t="shared" si="61"/>
        <v>0</v>
      </c>
      <c r="AK153" s="121">
        <f t="shared" si="61"/>
        <v>0</v>
      </c>
      <c r="AL153" s="121">
        <f t="shared" si="61"/>
        <v>0</v>
      </c>
      <c r="AM153" s="121">
        <f t="shared" si="61"/>
        <v>0</v>
      </c>
      <c r="AN153" s="121">
        <f t="shared" si="61"/>
        <v>526.70000000000005</v>
      </c>
      <c r="AO153" s="121">
        <f t="shared" si="61"/>
        <v>526.70000000000005</v>
      </c>
    </row>
    <row r="154" spans="1:43" x14ac:dyDescent="0.35">
      <c r="E154" s="88"/>
      <c r="F154" t="s">
        <v>160</v>
      </c>
      <c r="G154" t="s">
        <v>271</v>
      </c>
      <c r="H154" s="51"/>
      <c r="J154" s="121">
        <f t="shared" si="58"/>
        <v>0</v>
      </c>
      <c r="K154" s="121">
        <f t="shared" ref="K154:AO154" si="62">ROUND(K125, $H99)</f>
        <v>0</v>
      </c>
      <c r="L154" s="121">
        <f t="shared" si="62"/>
        <v>0</v>
      </c>
      <c r="M154" s="121">
        <f t="shared" si="62"/>
        <v>0</v>
      </c>
      <c r="N154" s="121">
        <f t="shared" si="62"/>
        <v>0</v>
      </c>
      <c r="O154" s="121">
        <f t="shared" si="62"/>
        <v>0</v>
      </c>
      <c r="P154" s="121">
        <f t="shared" si="62"/>
        <v>0</v>
      </c>
      <c r="Q154" s="121">
        <f t="shared" si="62"/>
        <v>0</v>
      </c>
      <c r="R154" s="121">
        <f t="shared" si="62"/>
        <v>5.45</v>
      </c>
      <c r="S154" s="121">
        <f t="shared" si="62"/>
        <v>5.45</v>
      </c>
      <c r="T154" s="121">
        <f t="shared" si="62"/>
        <v>5.45</v>
      </c>
      <c r="U154" s="121">
        <f t="shared" si="62"/>
        <v>5.45</v>
      </c>
      <c r="V154" s="121">
        <f t="shared" si="62"/>
        <v>5.45</v>
      </c>
      <c r="W154" s="121">
        <f t="shared" si="62"/>
        <v>8.6300000000000008</v>
      </c>
      <c r="X154" s="121">
        <f t="shared" si="62"/>
        <v>8.6300000000000008</v>
      </c>
      <c r="Y154" s="121">
        <f t="shared" si="62"/>
        <v>8.6300000000000008</v>
      </c>
      <c r="Z154" s="121">
        <f t="shared" si="62"/>
        <v>8.6300000000000008</v>
      </c>
      <c r="AA154" s="121">
        <f t="shared" si="62"/>
        <v>8.6300000000000008</v>
      </c>
      <c r="AB154" s="121">
        <f t="shared" si="62"/>
        <v>11.66</v>
      </c>
      <c r="AC154" s="121">
        <f t="shared" si="62"/>
        <v>11.66</v>
      </c>
      <c r="AD154" s="121">
        <f t="shared" si="62"/>
        <v>11.66</v>
      </c>
      <c r="AE154" s="121">
        <f t="shared" si="62"/>
        <v>11.66</v>
      </c>
      <c r="AF154" s="121">
        <f t="shared" si="62"/>
        <v>11.66</v>
      </c>
      <c r="AG154" s="121">
        <f t="shared" si="62"/>
        <v>0</v>
      </c>
      <c r="AH154" s="121">
        <f t="shared" si="62"/>
        <v>0</v>
      </c>
      <c r="AI154" s="121">
        <f t="shared" si="62"/>
        <v>0</v>
      </c>
      <c r="AJ154" s="121">
        <f t="shared" si="62"/>
        <v>0</v>
      </c>
      <c r="AK154" s="121">
        <f t="shared" si="62"/>
        <v>0</v>
      </c>
      <c r="AL154" s="121">
        <f t="shared" si="62"/>
        <v>0</v>
      </c>
      <c r="AM154" s="121">
        <f t="shared" si="62"/>
        <v>0</v>
      </c>
      <c r="AN154" s="121">
        <f t="shared" si="62"/>
        <v>0</v>
      </c>
      <c r="AO154" s="121">
        <f t="shared" si="62"/>
        <v>0</v>
      </c>
    </row>
    <row r="155" spans="1:43" x14ac:dyDescent="0.35">
      <c r="E155" s="88"/>
      <c r="F155" t="s">
        <v>161</v>
      </c>
      <c r="G155" t="s">
        <v>271</v>
      </c>
      <c r="H155" s="51"/>
      <c r="J155" s="121">
        <f t="shared" si="58"/>
        <v>0</v>
      </c>
      <c r="K155" s="121">
        <f t="shared" ref="K155:AO155" si="63">ROUND(K126, $H100)</f>
        <v>0</v>
      </c>
      <c r="L155" s="121">
        <f t="shared" si="63"/>
        <v>0</v>
      </c>
      <c r="M155" s="121">
        <f t="shared" si="63"/>
        <v>0</v>
      </c>
      <c r="N155" s="121">
        <f t="shared" si="63"/>
        <v>0</v>
      </c>
      <c r="O155" s="121">
        <f t="shared" si="63"/>
        <v>0</v>
      </c>
      <c r="P155" s="121">
        <f t="shared" si="63"/>
        <v>0</v>
      </c>
      <c r="Q155" s="121">
        <f t="shared" si="63"/>
        <v>0</v>
      </c>
      <c r="R155" s="121">
        <f t="shared" si="63"/>
        <v>9.52</v>
      </c>
      <c r="S155" s="121">
        <f t="shared" si="63"/>
        <v>9.52</v>
      </c>
      <c r="T155" s="121">
        <f t="shared" si="63"/>
        <v>9.52</v>
      </c>
      <c r="U155" s="121">
        <f t="shared" si="63"/>
        <v>9.52</v>
      </c>
      <c r="V155" s="121">
        <f t="shared" si="63"/>
        <v>9.52</v>
      </c>
      <c r="W155" s="121">
        <f t="shared" si="63"/>
        <v>11.68</v>
      </c>
      <c r="X155" s="121">
        <f t="shared" si="63"/>
        <v>11.68</v>
      </c>
      <c r="Y155" s="121">
        <f t="shared" si="63"/>
        <v>11.68</v>
      </c>
      <c r="Z155" s="121">
        <f t="shared" si="63"/>
        <v>11.68</v>
      </c>
      <c r="AA155" s="121">
        <f t="shared" si="63"/>
        <v>11.68</v>
      </c>
      <c r="AB155" s="121">
        <f t="shared" si="63"/>
        <v>13.57</v>
      </c>
      <c r="AC155" s="121">
        <f t="shared" si="63"/>
        <v>13.57</v>
      </c>
      <c r="AD155" s="121">
        <f t="shared" si="63"/>
        <v>13.57</v>
      </c>
      <c r="AE155" s="121">
        <f t="shared" si="63"/>
        <v>13.57</v>
      </c>
      <c r="AF155" s="121">
        <f t="shared" si="63"/>
        <v>13.57</v>
      </c>
      <c r="AG155" s="121">
        <f t="shared" si="63"/>
        <v>0</v>
      </c>
      <c r="AH155" s="121">
        <f t="shared" si="63"/>
        <v>0</v>
      </c>
      <c r="AI155" s="121">
        <f t="shared" si="63"/>
        <v>0</v>
      </c>
      <c r="AJ155" s="121">
        <f t="shared" si="63"/>
        <v>0</v>
      </c>
      <c r="AK155" s="121">
        <f t="shared" si="63"/>
        <v>0</v>
      </c>
      <c r="AL155" s="121">
        <f t="shared" si="63"/>
        <v>0</v>
      </c>
      <c r="AM155" s="121">
        <f t="shared" si="63"/>
        <v>0</v>
      </c>
      <c r="AN155" s="121">
        <f t="shared" si="63"/>
        <v>0</v>
      </c>
      <c r="AO155" s="121">
        <f t="shared" si="63"/>
        <v>0</v>
      </c>
    </row>
    <row r="156" spans="1:43" x14ac:dyDescent="0.35">
      <c r="E156" s="88"/>
      <c r="F156" s="37" t="s">
        <v>162</v>
      </c>
      <c r="G156" s="37" t="s">
        <v>272</v>
      </c>
      <c r="H156" s="283"/>
      <c r="I156" s="269"/>
      <c r="J156" s="273">
        <f t="shared" si="58"/>
        <v>0</v>
      </c>
      <c r="K156" s="273">
        <f t="shared" ref="K156:AO156" si="64">ROUND(K127, $H101)</f>
        <v>0</v>
      </c>
      <c r="L156" s="273">
        <f t="shared" si="64"/>
        <v>0</v>
      </c>
      <c r="M156" s="273">
        <f t="shared" si="64"/>
        <v>0</v>
      </c>
      <c r="N156" s="273">
        <f t="shared" si="64"/>
        <v>0</v>
      </c>
      <c r="O156" s="273">
        <f t="shared" si="64"/>
        <v>0</v>
      </c>
      <c r="P156" s="273">
        <f t="shared" si="64"/>
        <v>0</v>
      </c>
      <c r="Q156" s="273">
        <f t="shared" si="64"/>
        <v>0</v>
      </c>
      <c r="R156" s="273">
        <f t="shared" si="64"/>
        <v>0.28999999999999998</v>
      </c>
      <c r="S156" s="273">
        <f t="shared" si="64"/>
        <v>0.28999999999999998</v>
      </c>
      <c r="T156" s="273">
        <f t="shared" si="64"/>
        <v>0.28999999999999998</v>
      </c>
      <c r="U156" s="273">
        <f t="shared" si="64"/>
        <v>0.28999999999999998</v>
      </c>
      <c r="V156" s="273">
        <f t="shared" si="64"/>
        <v>0.28999999999999998</v>
      </c>
      <c r="W156" s="273">
        <f t="shared" si="64"/>
        <v>0.13700000000000001</v>
      </c>
      <c r="X156" s="273">
        <f t="shared" si="64"/>
        <v>0.13700000000000001</v>
      </c>
      <c r="Y156" s="273">
        <f t="shared" si="64"/>
        <v>0.13700000000000001</v>
      </c>
      <c r="Z156" s="273">
        <f t="shared" si="64"/>
        <v>0.13700000000000001</v>
      </c>
      <c r="AA156" s="273">
        <f t="shared" si="64"/>
        <v>0.13700000000000001</v>
      </c>
      <c r="AB156" s="273">
        <f t="shared" si="64"/>
        <v>9.2999999999999999E-2</v>
      </c>
      <c r="AC156" s="273">
        <f t="shared" si="64"/>
        <v>9.2999999999999999E-2</v>
      </c>
      <c r="AD156" s="273">
        <f t="shared" si="64"/>
        <v>9.2999999999999999E-2</v>
      </c>
      <c r="AE156" s="273">
        <f t="shared" si="64"/>
        <v>9.2999999999999999E-2</v>
      </c>
      <c r="AF156" s="273">
        <f t="shared" si="64"/>
        <v>9.2999999999999999E-2</v>
      </c>
      <c r="AG156" s="273">
        <f t="shared" si="64"/>
        <v>0</v>
      </c>
      <c r="AH156" s="273">
        <f t="shared" si="64"/>
        <v>0</v>
      </c>
      <c r="AI156" s="273">
        <f t="shared" si="64"/>
        <v>0</v>
      </c>
      <c r="AJ156" s="273">
        <f t="shared" si="64"/>
        <v>0.28399999999999997</v>
      </c>
      <c r="AK156" s="273">
        <f t="shared" si="64"/>
        <v>0</v>
      </c>
      <c r="AL156" s="273">
        <f t="shared" si="64"/>
        <v>0.23799999999999999</v>
      </c>
      <c r="AM156" s="273">
        <f t="shared" si="64"/>
        <v>0</v>
      </c>
      <c r="AN156" s="273">
        <f t="shared" si="64"/>
        <v>0.216</v>
      </c>
      <c r="AO156" s="273">
        <f t="shared" si="64"/>
        <v>0</v>
      </c>
      <c r="AP156" s="267"/>
      <c r="AQ156" s="267"/>
    </row>
    <row r="157" spans="1:43" x14ac:dyDescent="0.35">
      <c r="E157" s="32"/>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row>
    <row r="158" spans="1:43" x14ac:dyDescent="0.35">
      <c r="E158" s="32" t="s">
        <v>755</v>
      </c>
      <c r="I158" t="s">
        <v>154</v>
      </c>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Q158" t="s">
        <v>155</v>
      </c>
    </row>
    <row r="159" spans="1:43" x14ac:dyDescent="0.35">
      <c r="E159" s="88"/>
      <c r="F159" s="23" t="s">
        <v>156</v>
      </c>
      <c r="G159" s="23" t="s">
        <v>269</v>
      </c>
      <c r="H159" s="278"/>
      <c r="I159" s="266"/>
      <c r="J159" s="271">
        <f>ROUND(J130, $H95)</f>
        <v>6.1859999999999999</v>
      </c>
      <c r="K159" s="271">
        <f t="shared" ref="K159:AO159" si="65">ROUND(K130, $H95)</f>
        <v>6.1859999999999999</v>
      </c>
      <c r="L159" s="271">
        <f t="shared" si="65"/>
        <v>7.0979999999999999</v>
      </c>
      <c r="M159" s="271">
        <f t="shared" si="65"/>
        <v>7.0979999999999999</v>
      </c>
      <c r="N159" s="271">
        <f t="shared" si="65"/>
        <v>7.0979999999999999</v>
      </c>
      <c r="O159" s="271">
        <f t="shared" si="65"/>
        <v>7.0979999999999999</v>
      </c>
      <c r="P159" s="271">
        <f t="shared" si="65"/>
        <v>7.0979999999999999</v>
      </c>
      <c r="Q159" s="271">
        <f t="shared" si="65"/>
        <v>7.0979999999999999</v>
      </c>
      <c r="R159" s="271">
        <f t="shared" si="65"/>
        <v>5.1159999999999997</v>
      </c>
      <c r="S159" s="271">
        <f t="shared" si="65"/>
        <v>5.1159999999999997</v>
      </c>
      <c r="T159" s="271">
        <f t="shared" si="65"/>
        <v>5.1159999999999997</v>
      </c>
      <c r="U159" s="271">
        <f t="shared" si="65"/>
        <v>5.1159999999999997</v>
      </c>
      <c r="V159" s="271">
        <f t="shared" si="65"/>
        <v>5.1159999999999997</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271">
        <f t="shared" si="65"/>
        <v>12.298999999999999</v>
      </c>
      <c r="AH159" s="271">
        <f t="shared" si="65"/>
        <v>-6.77</v>
      </c>
      <c r="AI159" s="280">
        <f t="shared" si="65"/>
        <v>0</v>
      </c>
      <c r="AJ159" s="271">
        <f t="shared" si="65"/>
        <v>-6.77</v>
      </c>
      <c r="AK159" s="280">
        <f t="shared" si="65"/>
        <v>0</v>
      </c>
      <c r="AL159" s="280">
        <f t="shared" si="65"/>
        <v>0</v>
      </c>
      <c r="AM159" s="280">
        <f t="shared" si="65"/>
        <v>0</v>
      </c>
      <c r="AN159" s="280">
        <f t="shared" si="65"/>
        <v>0</v>
      </c>
      <c r="AO159" s="280">
        <f t="shared" si="65"/>
        <v>0</v>
      </c>
      <c r="AP159" s="267"/>
      <c r="AQ159" s="267"/>
    </row>
    <row r="160" spans="1:43" x14ac:dyDescent="0.35">
      <c r="E160" s="88"/>
      <c r="F160" t="s">
        <v>157</v>
      </c>
      <c r="G160" t="s">
        <v>269</v>
      </c>
      <c r="H160" s="279"/>
      <c r="I160" s="267"/>
      <c r="J160" s="272">
        <f t="shared" ref="J160:J165" si="66">ROUND(J131, $H96)</f>
        <v>1.286</v>
      </c>
      <c r="K160" s="272">
        <f t="shared" ref="K160:AO160" si="67">ROUND(K131, $H96)</f>
        <v>1.286</v>
      </c>
      <c r="L160" s="272">
        <f t="shared" si="67"/>
        <v>1.476</v>
      </c>
      <c r="M160" s="272">
        <f t="shared" si="67"/>
        <v>1.476</v>
      </c>
      <c r="N160" s="272">
        <f t="shared" si="67"/>
        <v>1.476</v>
      </c>
      <c r="O160" s="272">
        <f t="shared" si="67"/>
        <v>1.476</v>
      </c>
      <c r="P160" s="272">
        <f t="shared" si="67"/>
        <v>1.476</v>
      </c>
      <c r="Q160" s="272">
        <f t="shared" si="67"/>
        <v>1.476</v>
      </c>
      <c r="R160" s="272">
        <f t="shared" si="67"/>
        <v>1.036</v>
      </c>
      <c r="S160" s="272">
        <f t="shared" si="67"/>
        <v>1.036</v>
      </c>
      <c r="T160" s="272">
        <f t="shared" si="67"/>
        <v>1.036</v>
      </c>
      <c r="U160" s="272">
        <f t="shared" si="67"/>
        <v>1.036</v>
      </c>
      <c r="V160" s="272">
        <f t="shared" si="67"/>
        <v>1.036</v>
      </c>
      <c r="W160" s="268">
        <f t="shared" si="67"/>
        <v>0</v>
      </c>
      <c r="X160" s="268">
        <f t="shared" si="67"/>
        <v>0</v>
      </c>
      <c r="Y160" s="268">
        <f t="shared" si="67"/>
        <v>0</v>
      </c>
      <c r="Z160" s="268">
        <f t="shared" si="67"/>
        <v>0</v>
      </c>
      <c r="AA160" s="268">
        <f t="shared" si="67"/>
        <v>0</v>
      </c>
      <c r="AB160" s="268">
        <f t="shared" si="67"/>
        <v>0</v>
      </c>
      <c r="AC160" s="268">
        <f t="shared" si="67"/>
        <v>0</v>
      </c>
      <c r="AD160" s="268">
        <f t="shared" si="67"/>
        <v>0</v>
      </c>
      <c r="AE160" s="268">
        <f t="shared" si="67"/>
        <v>0</v>
      </c>
      <c r="AF160" s="268">
        <f t="shared" si="67"/>
        <v>0</v>
      </c>
      <c r="AG160" s="272">
        <f t="shared" si="67"/>
        <v>3.4540000000000002</v>
      </c>
      <c r="AH160" s="272">
        <f t="shared" si="67"/>
        <v>-1.407</v>
      </c>
      <c r="AI160" s="268">
        <f t="shared" si="67"/>
        <v>0</v>
      </c>
      <c r="AJ160" s="272">
        <f t="shared" si="67"/>
        <v>-1.407</v>
      </c>
      <c r="AK160" s="268">
        <f t="shared" si="67"/>
        <v>0</v>
      </c>
      <c r="AL160" s="268">
        <f t="shared" si="67"/>
        <v>0</v>
      </c>
      <c r="AM160" s="268">
        <f t="shared" si="67"/>
        <v>0</v>
      </c>
      <c r="AN160" s="268">
        <f t="shared" si="67"/>
        <v>0</v>
      </c>
      <c r="AO160" s="268">
        <f t="shared" si="67"/>
        <v>0</v>
      </c>
      <c r="AP160" s="267"/>
      <c r="AQ160" s="267"/>
    </row>
    <row r="161" spans="2:43" x14ac:dyDescent="0.35">
      <c r="E161" s="88"/>
      <c r="F161" t="s">
        <v>158</v>
      </c>
      <c r="G161" t="s">
        <v>269</v>
      </c>
      <c r="H161" s="279"/>
      <c r="I161" s="267"/>
      <c r="J161" s="272">
        <f t="shared" si="66"/>
        <v>0.44800000000000001</v>
      </c>
      <c r="K161" s="272">
        <f t="shared" ref="K161:AO161" si="68">ROUND(K132, $H97)</f>
        <v>0.44800000000000001</v>
      </c>
      <c r="L161" s="272">
        <f t="shared" si="68"/>
        <v>0.51400000000000001</v>
      </c>
      <c r="M161" s="272">
        <f t="shared" si="68"/>
        <v>0.51400000000000001</v>
      </c>
      <c r="N161" s="272">
        <f t="shared" si="68"/>
        <v>0.51400000000000001</v>
      </c>
      <c r="O161" s="272">
        <f t="shared" si="68"/>
        <v>0.51400000000000001</v>
      </c>
      <c r="P161" s="272">
        <f t="shared" si="68"/>
        <v>0.51400000000000001</v>
      </c>
      <c r="Q161" s="272">
        <f t="shared" si="68"/>
        <v>0.51400000000000001</v>
      </c>
      <c r="R161" s="272">
        <f t="shared" si="68"/>
        <v>0.36299999999999999</v>
      </c>
      <c r="S161" s="272">
        <f t="shared" si="68"/>
        <v>0.36299999999999999</v>
      </c>
      <c r="T161" s="272">
        <f t="shared" si="68"/>
        <v>0.36299999999999999</v>
      </c>
      <c r="U161" s="272">
        <f t="shared" si="68"/>
        <v>0.36299999999999999</v>
      </c>
      <c r="V161" s="272">
        <f t="shared" si="68"/>
        <v>0.36299999999999999</v>
      </c>
      <c r="W161" s="268">
        <f t="shared" si="68"/>
        <v>0</v>
      </c>
      <c r="X161" s="268">
        <f t="shared" si="68"/>
        <v>0</v>
      </c>
      <c r="Y161" s="268">
        <f t="shared" si="68"/>
        <v>0</v>
      </c>
      <c r="Z161" s="268">
        <f t="shared" si="68"/>
        <v>0</v>
      </c>
      <c r="AA161" s="268">
        <f t="shared" si="68"/>
        <v>0</v>
      </c>
      <c r="AB161" s="268">
        <f t="shared" si="68"/>
        <v>0</v>
      </c>
      <c r="AC161" s="268">
        <f t="shared" si="68"/>
        <v>0</v>
      </c>
      <c r="AD161" s="268">
        <f t="shared" si="68"/>
        <v>0</v>
      </c>
      <c r="AE161" s="268">
        <f t="shared" si="68"/>
        <v>0</v>
      </c>
      <c r="AF161" s="268">
        <f t="shared" si="68"/>
        <v>0</v>
      </c>
      <c r="AG161" s="272">
        <f t="shared" si="68"/>
        <v>2.7709999999999999</v>
      </c>
      <c r="AH161" s="272">
        <f t="shared" si="68"/>
        <v>-0.49</v>
      </c>
      <c r="AI161" s="268">
        <f t="shared" si="68"/>
        <v>0</v>
      </c>
      <c r="AJ161" s="272">
        <f t="shared" si="68"/>
        <v>-0.49</v>
      </c>
      <c r="AK161" s="268">
        <f t="shared" si="68"/>
        <v>0</v>
      </c>
      <c r="AL161" s="268">
        <f t="shared" si="68"/>
        <v>0</v>
      </c>
      <c r="AM161" s="268">
        <f t="shared" si="68"/>
        <v>0</v>
      </c>
      <c r="AN161" s="268">
        <f t="shared" si="68"/>
        <v>0</v>
      </c>
      <c r="AO161" s="268">
        <f t="shared" si="68"/>
        <v>0</v>
      </c>
      <c r="AP161" s="267"/>
      <c r="AQ161" s="267"/>
    </row>
    <row r="162" spans="2:43" x14ac:dyDescent="0.35">
      <c r="E162" s="88"/>
      <c r="F162" t="s">
        <v>159</v>
      </c>
      <c r="G162" t="s">
        <v>270</v>
      </c>
      <c r="H162" s="51"/>
      <c r="J162" s="121">
        <f t="shared" si="66"/>
        <v>22.34</v>
      </c>
      <c r="K162" s="121">
        <f t="shared" ref="K162:AO162" si="69">ROUND(K133, $H98)</f>
        <v>0</v>
      </c>
      <c r="L162" s="121">
        <f t="shared" si="69"/>
        <v>7.34</v>
      </c>
      <c r="M162" s="121">
        <f t="shared" si="69"/>
        <v>9.4600000000000009</v>
      </c>
      <c r="N162" s="121">
        <f t="shared" si="69"/>
        <v>19.91</v>
      </c>
      <c r="O162" s="121">
        <f t="shared" si="69"/>
        <v>38.369999999999997</v>
      </c>
      <c r="P162" s="121">
        <f t="shared" si="69"/>
        <v>108.86</v>
      </c>
      <c r="Q162" s="121">
        <f t="shared" si="69"/>
        <v>0</v>
      </c>
      <c r="R162" s="121">
        <f t="shared" si="69"/>
        <v>19.21</v>
      </c>
      <c r="S162" s="121">
        <f t="shared" si="69"/>
        <v>178.94</v>
      </c>
      <c r="T162" s="121">
        <f t="shared" si="69"/>
        <v>319.99</v>
      </c>
      <c r="U162" s="121">
        <f t="shared" si="69"/>
        <v>520.5</v>
      </c>
      <c r="V162" s="121">
        <f t="shared" si="69"/>
        <v>1191.29</v>
      </c>
      <c r="W162" s="79">
        <f t="shared" si="69"/>
        <v>0</v>
      </c>
      <c r="X162" s="79">
        <f t="shared" si="69"/>
        <v>0</v>
      </c>
      <c r="Y162" s="79">
        <f t="shared" si="69"/>
        <v>0</v>
      </c>
      <c r="Z162" s="79">
        <f t="shared" si="69"/>
        <v>0</v>
      </c>
      <c r="AA162" s="79">
        <f t="shared" si="69"/>
        <v>0</v>
      </c>
      <c r="AB162" s="79">
        <f t="shared" si="69"/>
        <v>0</v>
      </c>
      <c r="AC162" s="79">
        <f t="shared" si="69"/>
        <v>0</v>
      </c>
      <c r="AD162" s="79">
        <f t="shared" si="69"/>
        <v>0</v>
      </c>
      <c r="AE162" s="79">
        <f t="shared" si="69"/>
        <v>0</v>
      </c>
      <c r="AF162" s="79">
        <f t="shared" si="69"/>
        <v>0</v>
      </c>
      <c r="AG162" s="121">
        <f t="shared" si="69"/>
        <v>0</v>
      </c>
      <c r="AH162" s="121">
        <f t="shared" si="69"/>
        <v>0</v>
      </c>
      <c r="AI162" s="79">
        <f t="shared" si="69"/>
        <v>0</v>
      </c>
      <c r="AJ162" s="121">
        <f t="shared" si="69"/>
        <v>0</v>
      </c>
      <c r="AK162" s="79">
        <f t="shared" si="69"/>
        <v>0</v>
      </c>
      <c r="AL162" s="79">
        <f t="shared" si="69"/>
        <v>0</v>
      </c>
      <c r="AM162" s="79">
        <f t="shared" si="69"/>
        <v>0</v>
      </c>
      <c r="AN162" s="79">
        <f t="shared" si="69"/>
        <v>0</v>
      </c>
      <c r="AO162" s="79">
        <f t="shared" si="69"/>
        <v>0</v>
      </c>
    </row>
    <row r="163" spans="2:43" x14ac:dyDescent="0.35">
      <c r="E163" s="88"/>
      <c r="F163" t="s">
        <v>160</v>
      </c>
      <c r="G163" t="s">
        <v>271</v>
      </c>
      <c r="H163" s="51"/>
      <c r="J163" s="121">
        <f t="shared" si="66"/>
        <v>0</v>
      </c>
      <c r="K163" s="121">
        <f t="shared" ref="K163:AO163" si="70">ROUND(K134, $H99)</f>
        <v>0</v>
      </c>
      <c r="L163" s="121">
        <f t="shared" si="70"/>
        <v>0</v>
      </c>
      <c r="M163" s="121">
        <f t="shared" si="70"/>
        <v>0</v>
      </c>
      <c r="N163" s="121">
        <f t="shared" si="70"/>
        <v>0</v>
      </c>
      <c r="O163" s="121">
        <f t="shared" si="70"/>
        <v>0</v>
      </c>
      <c r="P163" s="121">
        <f t="shared" si="70"/>
        <v>0</v>
      </c>
      <c r="Q163" s="121">
        <f t="shared" si="70"/>
        <v>0</v>
      </c>
      <c r="R163" s="121">
        <f t="shared" si="70"/>
        <v>3.85</v>
      </c>
      <c r="S163" s="121">
        <f t="shared" si="70"/>
        <v>3.85</v>
      </c>
      <c r="T163" s="121">
        <f t="shared" si="70"/>
        <v>3.85</v>
      </c>
      <c r="U163" s="121">
        <f t="shared" si="70"/>
        <v>3.85</v>
      </c>
      <c r="V163" s="121">
        <f t="shared" si="70"/>
        <v>3.85</v>
      </c>
      <c r="W163" s="79">
        <f t="shared" si="70"/>
        <v>0</v>
      </c>
      <c r="X163" s="79">
        <f t="shared" si="70"/>
        <v>0</v>
      </c>
      <c r="Y163" s="79">
        <f t="shared" si="70"/>
        <v>0</v>
      </c>
      <c r="Z163" s="79">
        <f t="shared" si="70"/>
        <v>0</v>
      </c>
      <c r="AA163" s="79">
        <f t="shared" si="70"/>
        <v>0</v>
      </c>
      <c r="AB163" s="79">
        <f t="shared" si="70"/>
        <v>0</v>
      </c>
      <c r="AC163" s="79">
        <f t="shared" si="70"/>
        <v>0</v>
      </c>
      <c r="AD163" s="79">
        <f t="shared" si="70"/>
        <v>0</v>
      </c>
      <c r="AE163" s="79">
        <f t="shared" si="70"/>
        <v>0</v>
      </c>
      <c r="AF163" s="79">
        <f t="shared" si="70"/>
        <v>0</v>
      </c>
      <c r="AG163" s="121">
        <f t="shared" si="70"/>
        <v>0</v>
      </c>
      <c r="AH163" s="121">
        <f t="shared" si="70"/>
        <v>0</v>
      </c>
      <c r="AI163" s="79">
        <f t="shared" si="70"/>
        <v>0</v>
      </c>
      <c r="AJ163" s="121">
        <f t="shared" si="70"/>
        <v>0</v>
      </c>
      <c r="AK163" s="79">
        <f t="shared" si="70"/>
        <v>0</v>
      </c>
      <c r="AL163" s="79">
        <f t="shared" si="70"/>
        <v>0</v>
      </c>
      <c r="AM163" s="79">
        <f t="shared" si="70"/>
        <v>0</v>
      </c>
      <c r="AN163" s="79">
        <f t="shared" si="70"/>
        <v>0</v>
      </c>
      <c r="AO163" s="79">
        <f t="shared" si="70"/>
        <v>0</v>
      </c>
    </row>
    <row r="164" spans="2:43" x14ac:dyDescent="0.35">
      <c r="E164" s="88"/>
      <c r="F164" t="s">
        <v>161</v>
      </c>
      <c r="G164" t="s">
        <v>271</v>
      </c>
      <c r="H164" s="51"/>
      <c r="J164" s="121">
        <f t="shared" si="66"/>
        <v>0</v>
      </c>
      <c r="K164" s="121">
        <f t="shared" ref="K164:AO164" si="71">ROUND(K135, $H100)</f>
        <v>0</v>
      </c>
      <c r="L164" s="121">
        <f t="shared" si="71"/>
        <v>0</v>
      </c>
      <c r="M164" s="121">
        <f t="shared" si="71"/>
        <v>0</v>
      </c>
      <c r="N164" s="121">
        <f t="shared" si="71"/>
        <v>0</v>
      </c>
      <c r="O164" s="121">
        <f t="shared" si="71"/>
        <v>0</v>
      </c>
      <c r="P164" s="121">
        <f t="shared" si="71"/>
        <v>0</v>
      </c>
      <c r="Q164" s="121">
        <f t="shared" si="71"/>
        <v>0</v>
      </c>
      <c r="R164" s="121">
        <f t="shared" si="71"/>
        <v>6.73</v>
      </c>
      <c r="S164" s="121">
        <f t="shared" si="71"/>
        <v>6.73</v>
      </c>
      <c r="T164" s="121">
        <f t="shared" si="71"/>
        <v>6.73</v>
      </c>
      <c r="U164" s="121">
        <f t="shared" si="71"/>
        <v>6.73</v>
      </c>
      <c r="V164" s="121">
        <f t="shared" si="71"/>
        <v>6.73</v>
      </c>
      <c r="W164" s="79">
        <f t="shared" si="71"/>
        <v>0</v>
      </c>
      <c r="X164" s="79">
        <f t="shared" si="71"/>
        <v>0</v>
      </c>
      <c r="Y164" s="79">
        <f t="shared" si="71"/>
        <v>0</v>
      </c>
      <c r="Z164" s="79">
        <f t="shared" si="71"/>
        <v>0</v>
      </c>
      <c r="AA164" s="79">
        <f t="shared" si="71"/>
        <v>0</v>
      </c>
      <c r="AB164" s="79">
        <f t="shared" si="71"/>
        <v>0</v>
      </c>
      <c r="AC164" s="79">
        <f t="shared" si="71"/>
        <v>0</v>
      </c>
      <c r="AD164" s="79">
        <f t="shared" si="71"/>
        <v>0</v>
      </c>
      <c r="AE164" s="79">
        <f t="shared" si="71"/>
        <v>0</v>
      </c>
      <c r="AF164" s="79">
        <f t="shared" si="71"/>
        <v>0</v>
      </c>
      <c r="AG164" s="121">
        <f t="shared" si="71"/>
        <v>0</v>
      </c>
      <c r="AH164" s="121">
        <f t="shared" si="71"/>
        <v>0</v>
      </c>
      <c r="AI164" s="79">
        <f t="shared" si="71"/>
        <v>0</v>
      </c>
      <c r="AJ164" s="121">
        <f t="shared" si="71"/>
        <v>0</v>
      </c>
      <c r="AK164" s="79">
        <f t="shared" si="71"/>
        <v>0</v>
      </c>
      <c r="AL164" s="79">
        <f t="shared" si="71"/>
        <v>0</v>
      </c>
      <c r="AM164" s="79">
        <f t="shared" si="71"/>
        <v>0</v>
      </c>
      <c r="AN164" s="79">
        <f t="shared" si="71"/>
        <v>0</v>
      </c>
      <c r="AO164" s="79">
        <f t="shared" si="71"/>
        <v>0</v>
      </c>
    </row>
    <row r="165" spans="2:43" x14ac:dyDescent="0.35">
      <c r="E165" s="88"/>
      <c r="F165" s="37" t="s">
        <v>162</v>
      </c>
      <c r="G165" s="37" t="s">
        <v>272</v>
      </c>
      <c r="H165" s="283"/>
      <c r="I165" s="269"/>
      <c r="J165" s="273">
        <f t="shared" si="66"/>
        <v>0</v>
      </c>
      <c r="K165" s="273">
        <f t="shared" ref="K165:AO165" si="72">ROUND(K136, $H101)</f>
        <v>0</v>
      </c>
      <c r="L165" s="273">
        <f t="shared" si="72"/>
        <v>0</v>
      </c>
      <c r="M165" s="273">
        <f t="shared" si="72"/>
        <v>0</v>
      </c>
      <c r="N165" s="273">
        <f t="shared" si="72"/>
        <v>0</v>
      </c>
      <c r="O165" s="273">
        <f t="shared" si="72"/>
        <v>0</v>
      </c>
      <c r="P165" s="273">
        <f t="shared" si="72"/>
        <v>0</v>
      </c>
      <c r="Q165" s="273">
        <f t="shared" si="72"/>
        <v>0</v>
      </c>
      <c r="R165" s="273">
        <f t="shared" si="72"/>
        <v>0.20499999999999999</v>
      </c>
      <c r="S165" s="273">
        <f t="shared" si="72"/>
        <v>0.20499999999999999</v>
      </c>
      <c r="T165" s="273">
        <f t="shared" si="72"/>
        <v>0.20499999999999999</v>
      </c>
      <c r="U165" s="273">
        <f t="shared" si="72"/>
        <v>0.20499999999999999</v>
      </c>
      <c r="V165" s="273">
        <f t="shared" si="72"/>
        <v>0.20499999999999999</v>
      </c>
      <c r="W165" s="270">
        <f t="shared" si="72"/>
        <v>0</v>
      </c>
      <c r="X165" s="270">
        <f t="shared" si="72"/>
        <v>0</v>
      </c>
      <c r="Y165" s="270">
        <f t="shared" si="72"/>
        <v>0</v>
      </c>
      <c r="Z165" s="270">
        <f t="shared" si="72"/>
        <v>0</v>
      </c>
      <c r="AA165" s="270">
        <f t="shared" si="72"/>
        <v>0</v>
      </c>
      <c r="AB165" s="270">
        <f t="shared" si="72"/>
        <v>0</v>
      </c>
      <c r="AC165" s="270">
        <f t="shared" si="72"/>
        <v>0</v>
      </c>
      <c r="AD165" s="270">
        <f t="shared" si="72"/>
        <v>0</v>
      </c>
      <c r="AE165" s="270">
        <f t="shared" si="72"/>
        <v>0</v>
      </c>
      <c r="AF165" s="270">
        <f t="shared" si="72"/>
        <v>0</v>
      </c>
      <c r="AG165" s="273">
        <f t="shared" si="72"/>
        <v>0</v>
      </c>
      <c r="AH165" s="273">
        <f t="shared" si="72"/>
        <v>0</v>
      </c>
      <c r="AI165" s="270">
        <f t="shared" si="72"/>
        <v>0</v>
      </c>
      <c r="AJ165" s="273">
        <f t="shared" si="72"/>
        <v>0.28399999999999997</v>
      </c>
      <c r="AK165" s="270">
        <f t="shared" si="72"/>
        <v>0</v>
      </c>
      <c r="AL165" s="270">
        <f t="shared" si="72"/>
        <v>0</v>
      </c>
      <c r="AM165" s="270">
        <f t="shared" si="72"/>
        <v>0</v>
      </c>
      <c r="AN165" s="270">
        <f t="shared" si="72"/>
        <v>0</v>
      </c>
      <c r="AO165" s="270">
        <f t="shared" si="72"/>
        <v>0</v>
      </c>
      <c r="AP165" s="267"/>
      <c r="AQ165" s="267"/>
    </row>
    <row r="166" spans="2:43" x14ac:dyDescent="0.35">
      <c r="E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2:43" x14ac:dyDescent="0.35">
      <c r="E167" s="32" t="s">
        <v>756</v>
      </c>
      <c r="I167" t="s">
        <v>154</v>
      </c>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Q167" t="s">
        <v>155</v>
      </c>
    </row>
    <row r="168" spans="2:43" x14ac:dyDescent="0.35">
      <c r="C168" s="88"/>
      <c r="F168" s="23" t="s">
        <v>156</v>
      </c>
      <c r="G168" s="23" t="s">
        <v>269</v>
      </c>
      <c r="H168" s="278"/>
      <c r="I168" s="266"/>
      <c r="J168" s="271">
        <f t="shared" ref="J168" si="73">ROUND( J139, $H95)</f>
        <v>4.0940000000000003</v>
      </c>
      <c r="K168" s="271">
        <f t="shared" ref="K168:AO168" si="74">ROUND( K139, $H95)</f>
        <v>4.0940000000000003</v>
      </c>
      <c r="L168" s="271">
        <f t="shared" si="74"/>
        <v>4.6980000000000004</v>
      </c>
      <c r="M168" s="271">
        <f t="shared" si="74"/>
        <v>4.6980000000000004</v>
      </c>
      <c r="N168" s="271">
        <f t="shared" si="74"/>
        <v>4.6980000000000004</v>
      </c>
      <c r="O168" s="271">
        <f t="shared" si="74"/>
        <v>4.6980000000000004</v>
      </c>
      <c r="P168" s="271">
        <f t="shared" si="74"/>
        <v>4.6980000000000004</v>
      </c>
      <c r="Q168" s="271">
        <f t="shared" si="74"/>
        <v>4.6980000000000004</v>
      </c>
      <c r="R168" s="271">
        <f t="shared" si="74"/>
        <v>3.3860000000000001</v>
      </c>
      <c r="S168" s="271">
        <f t="shared" si="74"/>
        <v>3.3860000000000001</v>
      </c>
      <c r="T168" s="271">
        <f t="shared" si="74"/>
        <v>3.3860000000000001</v>
      </c>
      <c r="U168" s="271">
        <f t="shared" si="74"/>
        <v>3.3860000000000001</v>
      </c>
      <c r="V168" s="271">
        <f t="shared" si="74"/>
        <v>3.3860000000000001</v>
      </c>
      <c r="W168" s="271">
        <f t="shared" si="74"/>
        <v>2.5270000000000001</v>
      </c>
      <c r="X168" s="271">
        <f t="shared" si="74"/>
        <v>2.5270000000000001</v>
      </c>
      <c r="Y168" s="271">
        <f t="shared" si="74"/>
        <v>2.5270000000000001</v>
      </c>
      <c r="Z168" s="271">
        <f t="shared" si="74"/>
        <v>2.5270000000000001</v>
      </c>
      <c r="AA168" s="271">
        <f t="shared" si="74"/>
        <v>2.5270000000000001</v>
      </c>
      <c r="AB168" s="271">
        <f t="shared" si="74"/>
        <v>1.9330000000000001</v>
      </c>
      <c r="AC168" s="271">
        <f t="shared" si="74"/>
        <v>1.9330000000000001</v>
      </c>
      <c r="AD168" s="271">
        <f t="shared" si="74"/>
        <v>1.9330000000000001</v>
      </c>
      <c r="AE168" s="271">
        <f t="shared" si="74"/>
        <v>1.9330000000000001</v>
      </c>
      <c r="AF168" s="271">
        <f t="shared" si="74"/>
        <v>1.9330000000000001</v>
      </c>
      <c r="AG168" s="271">
        <f t="shared" si="74"/>
        <v>8.14</v>
      </c>
      <c r="AH168" s="271">
        <f t="shared" si="74"/>
        <v>-6.77</v>
      </c>
      <c r="AI168" s="271">
        <f t="shared" si="74"/>
        <v>-6.0629999999999997</v>
      </c>
      <c r="AJ168" s="271">
        <f t="shared" si="74"/>
        <v>-6.77</v>
      </c>
      <c r="AK168" s="280">
        <f t="shared" si="74"/>
        <v>0</v>
      </c>
      <c r="AL168" s="271">
        <f t="shared" si="74"/>
        <v>-6.0629999999999997</v>
      </c>
      <c r="AM168" s="280">
        <f t="shared" si="74"/>
        <v>0</v>
      </c>
      <c r="AN168" s="271">
        <f t="shared" si="74"/>
        <v>-3.399</v>
      </c>
      <c r="AO168" s="280">
        <f t="shared" si="74"/>
        <v>0</v>
      </c>
      <c r="AP168" s="267"/>
      <c r="AQ168" s="267"/>
    </row>
    <row r="169" spans="2:43" x14ac:dyDescent="0.35">
      <c r="C169" s="88"/>
      <c r="F169" t="s">
        <v>157</v>
      </c>
      <c r="G169" t="s">
        <v>269</v>
      </c>
      <c r="H169" s="279"/>
      <c r="I169" s="267"/>
      <c r="J169" s="272">
        <f t="shared" ref="J169:J174" si="75">ROUND( J140, $H96)</f>
        <v>0.85099999999999998</v>
      </c>
      <c r="K169" s="272">
        <f t="shared" ref="K169:AO169" si="76">ROUND( K140, $H96)</f>
        <v>0.85099999999999998</v>
      </c>
      <c r="L169" s="272">
        <f t="shared" si="76"/>
        <v>0.97699999999999998</v>
      </c>
      <c r="M169" s="272">
        <f t="shared" si="76"/>
        <v>0.97699999999999998</v>
      </c>
      <c r="N169" s="272">
        <f t="shared" si="76"/>
        <v>0.97699999999999998</v>
      </c>
      <c r="O169" s="272">
        <f t="shared" si="76"/>
        <v>0.97699999999999998</v>
      </c>
      <c r="P169" s="272">
        <f t="shared" si="76"/>
        <v>0.97699999999999998</v>
      </c>
      <c r="Q169" s="272">
        <f t="shared" si="76"/>
        <v>0.97699999999999998</v>
      </c>
      <c r="R169" s="272">
        <f t="shared" si="76"/>
        <v>0.68500000000000005</v>
      </c>
      <c r="S169" s="272">
        <f t="shared" si="76"/>
        <v>0.68500000000000005</v>
      </c>
      <c r="T169" s="272">
        <f t="shared" si="76"/>
        <v>0.68500000000000005</v>
      </c>
      <c r="U169" s="272">
        <f t="shared" si="76"/>
        <v>0.68500000000000005</v>
      </c>
      <c r="V169" s="272">
        <f t="shared" si="76"/>
        <v>0.68500000000000005</v>
      </c>
      <c r="W169" s="272">
        <f t="shared" si="76"/>
        <v>0.45700000000000002</v>
      </c>
      <c r="X169" s="272">
        <f t="shared" si="76"/>
        <v>0.45700000000000002</v>
      </c>
      <c r="Y169" s="272">
        <f t="shared" si="76"/>
        <v>0.45700000000000002</v>
      </c>
      <c r="Z169" s="272">
        <f t="shared" si="76"/>
        <v>0.45700000000000002</v>
      </c>
      <c r="AA169" s="272">
        <f t="shared" si="76"/>
        <v>0.45700000000000002</v>
      </c>
      <c r="AB169" s="272">
        <f t="shared" si="76"/>
        <v>0.33500000000000002</v>
      </c>
      <c r="AC169" s="272">
        <f t="shared" si="76"/>
        <v>0.33500000000000002</v>
      </c>
      <c r="AD169" s="272">
        <f t="shared" si="76"/>
        <v>0.33500000000000002</v>
      </c>
      <c r="AE169" s="272">
        <f t="shared" si="76"/>
        <v>0.33500000000000002</v>
      </c>
      <c r="AF169" s="272">
        <f t="shared" si="76"/>
        <v>0.33500000000000002</v>
      </c>
      <c r="AG169" s="272">
        <f t="shared" si="76"/>
        <v>2.286</v>
      </c>
      <c r="AH169" s="272">
        <f t="shared" si="76"/>
        <v>-1.407</v>
      </c>
      <c r="AI169" s="272">
        <f t="shared" si="76"/>
        <v>-1.246</v>
      </c>
      <c r="AJ169" s="272">
        <f t="shared" si="76"/>
        <v>-1.407</v>
      </c>
      <c r="AK169" s="268">
        <f t="shared" si="76"/>
        <v>0</v>
      </c>
      <c r="AL169" s="272">
        <f t="shared" si="76"/>
        <v>-1.246</v>
      </c>
      <c r="AM169" s="268">
        <f t="shared" si="76"/>
        <v>0</v>
      </c>
      <c r="AN169" s="272">
        <f t="shared" si="76"/>
        <v>-0.61499999999999999</v>
      </c>
      <c r="AO169" s="268">
        <f t="shared" si="76"/>
        <v>0</v>
      </c>
      <c r="AP169" s="267"/>
      <c r="AQ169" s="267"/>
    </row>
    <row r="170" spans="2:43" x14ac:dyDescent="0.35">
      <c r="C170" s="88"/>
      <c r="F170" t="s">
        <v>158</v>
      </c>
      <c r="G170" t="s">
        <v>269</v>
      </c>
      <c r="H170" s="279"/>
      <c r="I170" s="267"/>
      <c r="J170" s="272">
        <f t="shared" si="75"/>
        <v>0.29599999999999999</v>
      </c>
      <c r="K170" s="272">
        <f t="shared" ref="K170:AO170" si="77">ROUND( K141, $H97)</f>
        <v>0.29599999999999999</v>
      </c>
      <c r="L170" s="272">
        <f t="shared" si="77"/>
        <v>0.34</v>
      </c>
      <c r="M170" s="272">
        <f t="shared" si="77"/>
        <v>0.34</v>
      </c>
      <c r="N170" s="272">
        <f t="shared" si="77"/>
        <v>0.34</v>
      </c>
      <c r="O170" s="272">
        <f t="shared" si="77"/>
        <v>0.34</v>
      </c>
      <c r="P170" s="272">
        <f t="shared" si="77"/>
        <v>0.34</v>
      </c>
      <c r="Q170" s="272">
        <f t="shared" si="77"/>
        <v>0.34</v>
      </c>
      <c r="R170" s="272">
        <f t="shared" si="77"/>
        <v>0.24</v>
      </c>
      <c r="S170" s="272">
        <f t="shared" si="77"/>
        <v>0.24</v>
      </c>
      <c r="T170" s="272">
        <f t="shared" si="77"/>
        <v>0.24</v>
      </c>
      <c r="U170" s="272">
        <f t="shared" si="77"/>
        <v>0.24</v>
      </c>
      <c r="V170" s="272">
        <f t="shared" si="77"/>
        <v>0.24</v>
      </c>
      <c r="W170" s="272">
        <f t="shared" si="77"/>
        <v>0.16600000000000001</v>
      </c>
      <c r="X170" s="272">
        <f t="shared" si="77"/>
        <v>0.16600000000000001</v>
      </c>
      <c r="Y170" s="272">
        <f t="shared" si="77"/>
        <v>0.16600000000000001</v>
      </c>
      <c r="Z170" s="272">
        <f t="shared" si="77"/>
        <v>0.16600000000000001</v>
      </c>
      <c r="AA170" s="272">
        <f t="shared" si="77"/>
        <v>0.16600000000000001</v>
      </c>
      <c r="AB170" s="272">
        <f t="shared" si="77"/>
        <v>0.13</v>
      </c>
      <c r="AC170" s="272">
        <f t="shared" si="77"/>
        <v>0.13</v>
      </c>
      <c r="AD170" s="272">
        <f t="shared" si="77"/>
        <v>0.13</v>
      </c>
      <c r="AE170" s="272">
        <f t="shared" si="77"/>
        <v>0.13</v>
      </c>
      <c r="AF170" s="272">
        <f t="shared" si="77"/>
        <v>0.13</v>
      </c>
      <c r="AG170" s="272">
        <f t="shared" si="77"/>
        <v>1.8340000000000001</v>
      </c>
      <c r="AH170" s="272">
        <f t="shared" si="77"/>
        <v>-0.49</v>
      </c>
      <c r="AI170" s="272">
        <f t="shared" si="77"/>
        <v>-0.435</v>
      </c>
      <c r="AJ170" s="272">
        <f t="shared" si="77"/>
        <v>-0.49</v>
      </c>
      <c r="AK170" s="268">
        <f t="shared" si="77"/>
        <v>0</v>
      </c>
      <c r="AL170" s="272">
        <f t="shared" si="77"/>
        <v>-0.435</v>
      </c>
      <c r="AM170" s="268">
        <f t="shared" si="77"/>
        <v>0</v>
      </c>
      <c r="AN170" s="272">
        <f t="shared" si="77"/>
        <v>-0.224</v>
      </c>
      <c r="AO170" s="268">
        <f t="shared" si="77"/>
        <v>0</v>
      </c>
      <c r="AP170" s="267"/>
      <c r="AQ170" s="267"/>
    </row>
    <row r="171" spans="2:43" x14ac:dyDescent="0.35">
      <c r="C171" s="88"/>
      <c r="F171" t="s">
        <v>159</v>
      </c>
      <c r="G171" t="s">
        <v>270</v>
      </c>
      <c r="H171" s="51"/>
      <c r="J171" s="121">
        <f t="shared" si="75"/>
        <v>18.14</v>
      </c>
      <c r="K171" s="121">
        <f t="shared" ref="K171:AO171" si="78">ROUND( K142, $H98)</f>
        <v>0</v>
      </c>
      <c r="L171" s="121">
        <f t="shared" si="78"/>
        <v>4.87</v>
      </c>
      <c r="M171" s="121">
        <f t="shared" si="78"/>
        <v>6.28</v>
      </c>
      <c r="N171" s="121">
        <f t="shared" si="78"/>
        <v>13.2</v>
      </c>
      <c r="O171" s="121">
        <f t="shared" si="78"/>
        <v>25.41</v>
      </c>
      <c r="P171" s="121">
        <f t="shared" si="78"/>
        <v>72.06</v>
      </c>
      <c r="Q171" s="121">
        <f t="shared" si="78"/>
        <v>0</v>
      </c>
      <c r="R171" s="121">
        <f t="shared" si="78"/>
        <v>12.73</v>
      </c>
      <c r="S171" s="121">
        <f t="shared" si="78"/>
        <v>118.44</v>
      </c>
      <c r="T171" s="121">
        <f t="shared" si="78"/>
        <v>211.79</v>
      </c>
      <c r="U171" s="121">
        <f t="shared" si="78"/>
        <v>344.49</v>
      </c>
      <c r="V171" s="121">
        <f t="shared" si="78"/>
        <v>788.43</v>
      </c>
      <c r="W171" s="121">
        <f t="shared" si="78"/>
        <v>43.09</v>
      </c>
      <c r="X171" s="121">
        <f t="shared" si="78"/>
        <v>195.7</v>
      </c>
      <c r="Y171" s="121">
        <f t="shared" si="78"/>
        <v>330.46</v>
      </c>
      <c r="Z171" s="121">
        <f t="shared" si="78"/>
        <v>522.04</v>
      </c>
      <c r="AA171" s="121">
        <f t="shared" si="78"/>
        <v>1162.93</v>
      </c>
      <c r="AB171" s="121">
        <f t="shared" si="78"/>
        <v>237.6</v>
      </c>
      <c r="AC171" s="121">
        <f t="shared" si="78"/>
        <v>547.02</v>
      </c>
      <c r="AD171" s="121">
        <f t="shared" si="78"/>
        <v>2645.49</v>
      </c>
      <c r="AE171" s="121">
        <f t="shared" si="78"/>
        <v>5416.78</v>
      </c>
      <c r="AF171" s="121">
        <f t="shared" si="78"/>
        <v>11611.58</v>
      </c>
      <c r="AG171" s="121">
        <f t="shared" si="78"/>
        <v>0</v>
      </c>
      <c r="AH171" s="121">
        <f t="shared" si="78"/>
        <v>0</v>
      </c>
      <c r="AI171" s="121">
        <f t="shared" si="78"/>
        <v>0</v>
      </c>
      <c r="AJ171" s="121">
        <f t="shared" si="78"/>
        <v>0</v>
      </c>
      <c r="AK171" s="79">
        <f t="shared" si="78"/>
        <v>0</v>
      </c>
      <c r="AL171" s="121">
        <f t="shared" si="78"/>
        <v>0</v>
      </c>
      <c r="AM171" s="79">
        <f t="shared" si="78"/>
        <v>0</v>
      </c>
      <c r="AN171" s="121">
        <f t="shared" si="78"/>
        <v>0</v>
      </c>
      <c r="AO171" s="79">
        <f t="shared" si="78"/>
        <v>0</v>
      </c>
    </row>
    <row r="172" spans="2:43" x14ac:dyDescent="0.35">
      <c r="C172" s="88"/>
      <c r="F172" t="s">
        <v>160</v>
      </c>
      <c r="G172" t="s">
        <v>271</v>
      </c>
      <c r="H172" s="51"/>
      <c r="J172" s="121">
        <f t="shared" si="75"/>
        <v>0</v>
      </c>
      <c r="K172" s="121">
        <f t="shared" ref="K172:AO172" si="79">ROUND( K143, $H99)</f>
        <v>0</v>
      </c>
      <c r="L172" s="121">
        <f t="shared" si="79"/>
        <v>0</v>
      </c>
      <c r="M172" s="121">
        <f t="shared" si="79"/>
        <v>0</v>
      </c>
      <c r="N172" s="121">
        <f t="shared" si="79"/>
        <v>0</v>
      </c>
      <c r="O172" s="121">
        <f t="shared" si="79"/>
        <v>0</v>
      </c>
      <c r="P172" s="121">
        <f t="shared" si="79"/>
        <v>0</v>
      </c>
      <c r="Q172" s="121">
        <f t="shared" si="79"/>
        <v>0</v>
      </c>
      <c r="R172" s="121">
        <f t="shared" si="79"/>
        <v>2.5499999999999998</v>
      </c>
      <c r="S172" s="121">
        <f t="shared" si="79"/>
        <v>2.5499999999999998</v>
      </c>
      <c r="T172" s="121">
        <f t="shared" si="79"/>
        <v>2.5499999999999998</v>
      </c>
      <c r="U172" s="121">
        <f t="shared" si="79"/>
        <v>2.5499999999999998</v>
      </c>
      <c r="V172" s="121">
        <f t="shared" si="79"/>
        <v>2.5499999999999998</v>
      </c>
      <c r="W172" s="121">
        <f t="shared" si="79"/>
        <v>5.82</v>
      </c>
      <c r="X172" s="121">
        <f t="shared" si="79"/>
        <v>5.82</v>
      </c>
      <c r="Y172" s="121">
        <f t="shared" si="79"/>
        <v>5.82</v>
      </c>
      <c r="Z172" s="121">
        <f t="shared" si="79"/>
        <v>5.82</v>
      </c>
      <c r="AA172" s="121">
        <f t="shared" si="79"/>
        <v>5.82</v>
      </c>
      <c r="AB172" s="121">
        <f t="shared" si="79"/>
        <v>8.6</v>
      </c>
      <c r="AC172" s="121">
        <f t="shared" si="79"/>
        <v>8.6</v>
      </c>
      <c r="AD172" s="121">
        <f t="shared" si="79"/>
        <v>8.6</v>
      </c>
      <c r="AE172" s="121">
        <f t="shared" si="79"/>
        <v>8.6</v>
      </c>
      <c r="AF172" s="121">
        <f t="shared" si="79"/>
        <v>8.6</v>
      </c>
      <c r="AG172" s="121">
        <f t="shared" si="79"/>
        <v>0</v>
      </c>
      <c r="AH172" s="121">
        <f t="shared" si="79"/>
        <v>0</v>
      </c>
      <c r="AI172" s="121">
        <f t="shared" si="79"/>
        <v>0</v>
      </c>
      <c r="AJ172" s="121">
        <f t="shared" si="79"/>
        <v>0</v>
      </c>
      <c r="AK172" s="79">
        <f t="shared" si="79"/>
        <v>0</v>
      </c>
      <c r="AL172" s="121">
        <f t="shared" si="79"/>
        <v>0</v>
      </c>
      <c r="AM172" s="79">
        <f t="shared" si="79"/>
        <v>0</v>
      </c>
      <c r="AN172" s="121">
        <f t="shared" si="79"/>
        <v>0</v>
      </c>
      <c r="AO172" s="79">
        <f t="shared" si="79"/>
        <v>0</v>
      </c>
    </row>
    <row r="173" spans="2:43" x14ac:dyDescent="0.35">
      <c r="C173" s="88"/>
      <c r="F173" t="s">
        <v>161</v>
      </c>
      <c r="G173" t="s">
        <v>271</v>
      </c>
      <c r="H173" s="51"/>
      <c r="J173" s="121">
        <f t="shared" si="75"/>
        <v>0</v>
      </c>
      <c r="K173" s="121">
        <f t="shared" ref="K173:AO173" si="80">ROUND( K144, $H100)</f>
        <v>0</v>
      </c>
      <c r="L173" s="121">
        <f t="shared" si="80"/>
        <v>0</v>
      </c>
      <c r="M173" s="121">
        <f t="shared" si="80"/>
        <v>0</v>
      </c>
      <c r="N173" s="121">
        <f t="shared" si="80"/>
        <v>0</v>
      </c>
      <c r="O173" s="121">
        <f t="shared" si="80"/>
        <v>0</v>
      </c>
      <c r="P173" s="121">
        <f t="shared" si="80"/>
        <v>0</v>
      </c>
      <c r="Q173" s="121">
        <f t="shared" si="80"/>
        <v>0</v>
      </c>
      <c r="R173" s="121">
        <f t="shared" si="80"/>
        <v>4.45</v>
      </c>
      <c r="S173" s="121">
        <f t="shared" si="80"/>
        <v>4.45</v>
      </c>
      <c r="T173" s="121">
        <f t="shared" si="80"/>
        <v>4.45</v>
      </c>
      <c r="U173" s="121">
        <f t="shared" si="80"/>
        <v>4.45</v>
      </c>
      <c r="V173" s="121">
        <f t="shared" si="80"/>
        <v>4.45</v>
      </c>
      <c r="W173" s="121">
        <f t="shared" si="80"/>
        <v>7.88</v>
      </c>
      <c r="X173" s="121">
        <f t="shared" si="80"/>
        <v>7.88</v>
      </c>
      <c r="Y173" s="121">
        <f t="shared" si="80"/>
        <v>7.88</v>
      </c>
      <c r="Z173" s="121">
        <f t="shared" si="80"/>
        <v>7.88</v>
      </c>
      <c r="AA173" s="121">
        <f t="shared" si="80"/>
        <v>7.88</v>
      </c>
      <c r="AB173" s="121">
        <f t="shared" si="80"/>
        <v>10.01</v>
      </c>
      <c r="AC173" s="121">
        <f t="shared" si="80"/>
        <v>10.01</v>
      </c>
      <c r="AD173" s="121">
        <f t="shared" si="80"/>
        <v>10.01</v>
      </c>
      <c r="AE173" s="121">
        <f t="shared" si="80"/>
        <v>10.01</v>
      </c>
      <c r="AF173" s="121">
        <f t="shared" si="80"/>
        <v>10.01</v>
      </c>
      <c r="AG173" s="121">
        <f t="shared" si="80"/>
        <v>0</v>
      </c>
      <c r="AH173" s="121">
        <f t="shared" si="80"/>
        <v>0</v>
      </c>
      <c r="AI173" s="121">
        <f t="shared" si="80"/>
        <v>0</v>
      </c>
      <c r="AJ173" s="121">
        <f t="shared" si="80"/>
        <v>0</v>
      </c>
      <c r="AK173" s="79">
        <f t="shared" si="80"/>
        <v>0</v>
      </c>
      <c r="AL173" s="121">
        <f t="shared" si="80"/>
        <v>0</v>
      </c>
      <c r="AM173" s="79">
        <f t="shared" si="80"/>
        <v>0</v>
      </c>
      <c r="AN173" s="121">
        <f t="shared" si="80"/>
        <v>0</v>
      </c>
      <c r="AO173" s="79">
        <f t="shared" si="80"/>
        <v>0</v>
      </c>
    </row>
    <row r="174" spans="2:43" x14ac:dyDescent="0.35">
      <c r="C174" s="88"/>
      <c r="F174" s="37" t="s">
        <v>162</v>
      </c>
      <c r="G174" s="37" t="s">
        <v>272</v>
      </c>
      <c r="H174" s="283"/>
      <c r="I174" s="269"/>
      <c r="J174" s="273">
        <f t="shared" si="75"/>
        <v>0</v>
      </c>
      <c r="K174" s="273">
        <f t="shared" ref="K174:AO174" si="81">ROUND( K145, $H101)</f>
        <v>0</v>
      </c>
      <c r="L174" s="273">
        <f t="shared" si="81"/>
        <v>0</v>
      </c>
      <c r="M174" s="273">
        <f t="shared" si="81"/>
        <v>0</v>
      </c>
      <c r="N174" s="273">
        <f t="shared" si="81"/>
        <v>0</v>
      </c>
      <c r="O174" s="273">
        <f t="shared" si="81"/>
        <v>0</v>
      </c>
      <c r="P174" s="273">
        <f t="shared" si="81"/>
        <v>0</v>
      </c>
      <c r="Q174" s="273">
        <f t="shared" si="81"/>
        <v>0</v>
      </c>
      <c r="R174" s="273">
        <f t="shared" si="81"/>
        <v>0.13600000000000001</v>
      </c>
      <c r="S174" s="273">
        <f t="shared" si="81"/>
        <v>0.13600000000000001</v>
      </c>
      <c r="T174" s="273">
        <f t="shared" si="81"/>
        <v>0.13600000000000001</v>
      </c>
      <c r="U174" s="273">
        <f t="shared" si="81"/>
        <v>0.13600000000000001</v>
      </c>
      <c r="V174" s="273">
        <f t="shared" si="81"/>
        <v>0.13600000000000001</v>
      </c>
      <c r="W174" s="273">
        <f t="shared" si="81"/>
        <v>9.2999999999999999E-2</v>
      </c>
      <c r="X174" s="273">
        <f t="shared" si="81"/>
        <v>9.2999999999999999E-2</v>
      </c>
      <c r="Y174" s="273">
        <f t="shared" si="81"/>
        <v>9.2999999999999999E-2</v>
      </c>
      <c r="Z174" s="273">
        <f t="shared" si="81"/>
        <v>9.2999999999999999E-2</v>
      </c>
      <c r="AA174" s="273">
        <f t="shared" si="81"/>
        <v>9.2999999999999999E-2</v>
      </c>
      <c r="AB174" s="273">
        <f t="shared" si="81"/>
        <v>6.9000000000000006E-2</v>
      </c>
      <c r="AC174" s="273">
        <f t="shared" si="81"/>
        <v>6.9000000000000006E-2</v>
      </c>
      <c r="AD174" s="273">
        <f t="shared" si="81"/>
        <v>6.9000000000000006E-2</v>
      </c>
      <c r="AE174" s="273">
        <f t="shared" si="81"/>
        <v>6.9000000000000006E-2</v>
      </c>
      <c r="AF174" s="273">
        <f t="shared" si="81"/>
        <v>6.9000000000000006E-2</v>
      </c>
      <c r="AG174" s="273">
        <f t="shared" si="81"/>
        <v>0</v>
      </c>
      <c r="AH174" s="273">
        <f t="shared" si="81"/>
        <v>0</v>
      </c>
      <c r="AI174" s="273">
        <f t="shared" si="81"/>
        <v>0</v>
      </c>
      <c r="AJ174" s="273">
        <f t="shared" si="81"/>
        <v>0.28399999999999997</v>
      </c>
      <c r="AK174" s="270">
        <f t="shared" si="81"/>
        <v>0</v>
      </c>
      <c r="AL174" s="273">
        <f t="shared" si="81"/>
        <v>0.23799999999999999</v>
      </c>
      <c r="AM174" s="270">
        <f t="shared" si="81"/>
        <v>0</v>
      </c>
      <c r="AN174" s="273">
        <f t="shared" si="81"/>
        <v>0.216</v>
      </c>
      <c r="AO174" s="270">
        <f t="shared" si="81"/>
        <v>0</v>
      </c>
      <c r="AP174" s="267"/>
      <c r="AQ174" s="267"/>
    </row>
    <row r="175" spans="2:43" x14ac:dyDescent="0.35">
      <c r="C175" s="88"/>
    </row>
    <row r="176" spans="2:43" x14ac:dyDescent="0.35">
      <c r="B176" s="30" t="s">
        <v>231</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8" spans="2:43" x14ac:dyDescent="0.35">
      <c r="E178" t="s">
        <v>232</v>
      </c>
      <c r="G178" s="6" t="s">
        <v>55</v>
      </c>
      <c r="H178" s="103">
        <f t="array" ref="H178">SUM(IF(ISERROR(H20:AO174), 1))</f>
        <v>0</v>
      </c>
    </row>
    <row r="180" spans="2:43" x14ac:dyDescent="0.35">
      <c r="B180" s="30" t="s">
        <v>106</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5" width="2.54296875" customWidth="1"/>
    <col min="6" max="6" width="59.54296875" customWidth="1"/>
    <col min="7" max="8" width="20.54296875" customWidth="1"/>
    <col min="9" max="9" width="2.453125" customWidth="1"/>
    <col min="10" max="41" width="17" customWidth="1"/>
    <col min="42" max="42" width="2.453125" customWidth="1"/>
    <col min="43" max="43" width="50.54296875" customWidth="1"/>
    <col min="44" max="44" width="2.453125" customWidth="1"/>
    <col min="45" max="80" width="0" hidden="1" customWidth="1"/>
    <col min="81" max="16384" width="9.26953125" hidden="1"/>
  </cols>
  <sheetData>
    <row r="1" spans="1:43" s="1" customFormat="1" x14ac:dyDescent="0.35">
      <c r="A1" s="1" t="str">
        <f ca="1">MID(CELL("filename",A1),FIND("]",CELL("filename",A1))+1,255)</f>
        <v>Net revenue summary</v>
      </c>
    </row>
    <row r="2" spans="1:43" s="1" customFormat="1" x14ac:dyDescent="0.35">
      <c r="A2" s="1" t="str">
        <f>Cover!D21&amp;" - "&amp;Cover!D23</f>
        <v>Scottish Hydro Electric Power Distribution plc - Final_V1.1 (Updated 31-01-22)</v>
      </c>
    </row>
    <row r="3" spans="1:43" s="5" customFormat="1" x14ac:dyDescent="0.35">
      <c r="A3" s="5" t="str">
        <f>Cover!D2&amp;" - "&amp;Cover!D8&amp;" v"&amp;Cover!D10&amp;" - "&amp;Cover!D19</f>
        <v>CDCM charging model - Release for charge setting v7 - 2022/23</v>
      </c>
    </row>
    <row r="4" spans="1:43" x14ac:dyDescent="0.35">
      <c r="A4" s="12" t="str">
        <f>H211 &amp; IF(H211 = 1, " issue", " issues") &amp;" identified in checks on this sheet"</f>
        <v>0 issues identified in checks on this sheet</v>
      </c>
      <c r="B4" s="13"/>
      <c r="C4" s="13"/>
      <c r="D4" s="13"/>
      <c r="E4" s="13"/>
      <c r="F4" s="13"/>
      <c r="G4" s="13"/>
      <c r="H4" s="14"/>
      <c r="I4" s="14"/>
    </row>
    <row r="5" spans="1:43" ht="43.5" x14ac:dyDescent="0.35">
      <c r="B5" s="59" t="s">
        <v>142</v>
      </c>
      <c r="C5" s="60"/>
      <c r="D5" s="60"/>
      <c r="E5" s="60"/>
      <c r="F5" s="60"/>
      <c r="G5" s="61" t="s">
        <v>143</v>
      </c>
      <c r="H5" s="62" t="s">
        <v>144</v>
      </c>
      <c r="J5" s="114" t="s">
        <v>913</v>
      </c>
      <c r="K5" s="114" t="s">
        <v>831</v>
      </c>
      <c r="L5" s="114" t="s">
        <v>914</v>
      </c>
      <c r="M5" s="114" t="s">
        <v>915</v>
      </c>
      <c r="N5" s="114" t="s">
        <v>916</v>
      </c>
      <c r="O5" s="114" t="s">
        <v>917</v>
      </c>
      <c r="P5" s="114" t="s">
        <v>918</v>
      </c>
      <c r="Q5" s="114" t="s">
        <v>832</v>
      </c>
      <c r="R5" s="114" t="s">
        <v>919</v>
      </c>
      <c r="S5" s="114" t="s">
        <v>920</v>
      </c>
      <c r="T5" s="114" t="s">
        <v>921</v>
      </c>
      <c r="U5" s="114" t="s">
        <v>922</v>
      </c>
      <c r="V5" s="114" t="s">
        <v>923</v>
      </c>
      <c r="W5" s="114" t="s">
        <v>924</v>
      </c>
      <c r="X5" s="114" t="s">
        <v>925</v>
      </c>
      <c r="Y5" s="114" t="s">
        <v>926</v>
      </c>
      <c r="Z5" s="114" t="s">
        <v>927</v>
      </c>
      <c r="AA5" s="114" t="s">
        <v>928</v>
      </c>
      <c r="AB5" s="114" t="s">
        <v>929</v>
      </c>
      <c r="AC5" s="114" t="s">
        <v>930</v>
      </c>
      <c r="AD5" s="114" t="s">
        <v>931</v>
      </c>
      <c r="AE5" s="114" t="s">
        <v>932</v>
      </c>
      <c r="AF5" s="114" t="s">
        <v>933</v>
      </c>
      <c r="AG5" s="114" t="s">
        <v>841</v>
      </c>
      <c r="AH5" s="114" t="s">
        <v>833</v>
      </c>
      <c r="AI5" s="114" t="s">
        <v>834</v>
      </c>
      <c r="AJ5" s="114" t="s">
        <v>835</v>
      </c>
      <c r="AK5" s="114" t="s">
        <v>844</v>
      </c>
      <c r="AL5" s="114" t="s">
        <v>836</v>
      </c>
      <c r="AM5" s="114" t="s">
        <v>843</v>
      </c>
      <c r="AN5" s="114" t="s">
        <v>837</v>
      </c>
      <c r="AO5" s="114" t="s">
        <v>842</v>
      </c>
      <c r="AQ5" s="61" t="s">
        <v>145</v>
      </c>
    </row>
    <row r="7" spans="1:43"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35">
      <c r="C9" s="29" t="s">
        <v>757</v>
      </c>
    </row>
    <row r="10" spans="1:43" x14ac:dyDescent="0.35">
      <c r="C10" s="28"/>
    </row>
    <row r="11" spans="1:43" x14ac:dyDescent="0.35">
      <c r="B11" s="30" t="s">
        <v>758</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35">
      <c r="D12" s="2"/>
      <c r="E12" s="2"/>
    </row>
    <row r="13" spans="1:43" x14ac:dyDescent="0.3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x14ac:dyDescent="0.35">
      <c r="D14" s="32"/>
    </row>
    <row r="15" spans="1:43" x14ac:dyDescent="0.35">
      <c r="C15" s="51"/>
      <c r="D15" s="51"/>
      <c r="E15" s="378" t="s">
        <v>1010</v>
      </c>
      <c r="G15" s="378" t="s">
        <v>149</v>
      </c>
      <c r="J15" s="51">
        <f>'Fixed inputs'!J169</f>
        <v>1</v>
      </c>
      <c r="K15" s="51">
        <f>'Fixed inputs'!K169</f>
        <v>2</v>
      </c>
      <c r="L15" s="51">
        <f>'Fixed inputs'!L169</f>
        <v>3</v>
      </c>
      <c r="M15" s="51">
        <f>'Fixed inputs'!M169</f>
        <v>3</v>
      </c>
      <c r="N15" s="51">
        <f>'Fixed inputs'!N169</f>
        <v>3</v>
      </c>
      <c r="O15" s="51">
        <f>'Fixed inputs'!O169</f>
        <v>3</v>
      </c>
      <c r="P15" s="51">
        <f>'Fixed inputs'!P169</f>
        <v>3</v>
      </c>
      <c r="Q15" s="51">
        <f>'Fixed inputs'!Q169</f>
        <v>4</v>
      </c>
      <c r="R15" s="51">
        <f>'Fixed inputs'!R169</f>
        <v>5</v>
      </c>
      <c r="S15" s="51">
        <f>'Fixed inputs'!S169</f>
        <v>5</v>
      </c>
      <c r="T15" s="51">
        <f>'Fixed inputs'!T169</f>
        <v>5</v>
      </c>
      <c r="U15" s="51">
        <f>'Fixed inputs'!U169</f>
        <v>5</v>
      </c>
      <c r="V15" s="51">
        <f>'Fixed inputs'!V169</f>
        <v>5</v>
      </c>
      <c r="W15" s="51">
        <f>'Fixed inputs'!W169</f>
        <v>6</v>
      </c>
      <c r="X15" s="51">
        <f>'Fixed inputs'!X169</f>
        <v>6</v>
      </c>
      <c r="Y15" s="51">
        <f>'Fixed inputs'!Y169</f>
        <v>6</v>
      </c>
      <c r="Z15" s="51">
        <f>'Fixed inputs'!Z169</f>
        <v>6</v>
      </c>
      <c r="AA15" s="51">
        <f>'Fixed inputs'!AA169</f>
        <v>6</v>
      </c>
      <c r="AB15" s="51">
        <f>'Fixed inputs'!AB169</f>
        <v>7</v>
      </c>
      <c r="AC15" s="51">
        <f>'Fixed inputs'!AC169</f>
        <v>7</v>
      </c>
      <c r="AD15" s="51">
        <f>'Fixed inputs'!AD169</f>
        <v>7</v>
      </c>
      <c r="AE15" s="51">
        <f>'Fixed inputs'!AE169</f>
        <v>7</v>
      </c>
      <c r="AF15" s="51">
        <f>'Fixed inputs'!AF169</f>
        <v>7</v>
      </c>
      <c r="AG15" s="51">
        <f>'Fixed inputs'!AG169</f>
        <v>8</v>
      </c>
      <c r="AH15" s="51">
        <f>'Fixed inputs'!AH169</f>
        <v>9</v>
      </c>
      <c r="AI15" s="51">
        <f>'Fixed inputs'!AI169</f>
        <v>10</v>
      </c>
      <c r="AJ15" s="51">
        <f>'Fixed inputs'!AJ169</f>
        <v>11</v>
      </c>
      <c r="AK15" s="51">
        <f>'Fixed inputs'!AK169</f>
        <v>12</v>
      </c>
      <c r="AL15" s="51">
        <f>'Fixed inputs'!AL169</f>
        <v>13</v>
      </c>
      <c r="AM15" s="51">
        <f>'Fixed inputs'!AM169</f>
        <v>14</v>
      </c>
      <c r="AN15" s="51">
        <f>'Fixed inputs'!AN169</f>
        <v>15</v>
      </c>
      <c r="AO15" s="51">
        <f>'Fixed inputs'!AO169</f>
        <v>16</v>
      </c>
    </row>
    <row r="16" spans="1:43" x14ac:dyDescent="0.35">
      <c r="E16" s="28"/>
      <c r="G16" s="28"/>
    </row>
    <row r="17" spans="1:43" x14ac:dyDescent="0.35">
      <c r="C17" s="51"/>
      <c r="D17" s="51"/>
      <c r="E17" s="378" t="s">
        <v>944</v>
      </c>
      <c r="G17" s="378" t="s">
        <v>149</v>
      </c>
      <c r="J17" s="51">
        <f>'Fixed inputs'!J168</f>
        <v>1</v>
      </c>
      <c r="K17" s="51">
        <f>'Fixed inputs'!K168</f>
        <v>0</v>
      </c>
      <c r="L17" s="51">
        <f>'Fixed inputs'!L168</f>
        <v>0</v>
      </c>
      <c r="M17" s="51">
        <f>'Fixed inputs'!M168</f>
        <v>1</v>
      </c>
      <c r="N17" s="51">
        <f>'Fixed inputs'!N168</f>
        <v>2</v>
      </c>
      <c r="O17" s="51">
        <f>'Fixed inputs'!O168</f>
        <v>3</v>
      </c>
      <c r="P17" s="51">
        <f>'Fixed inputs'!P168</f>
        <v>4</v>
      </c>
      <c r="Q17" s="51">
        <f>'Fixed inputs'!Q168</f>
        <v>0</v>
      </c>
      <c r="R17" s="51">
        <f>'Fixed inputs'!R168</f>
        <v>0</v>
      </c>
      <c r="S17" s="51">
        <f>'Fixed inputs'!S168</f>
        <v>1</v>
      </c>
      <c r="T17" s="51">
        <f>'Fixed inputs'!T168</f>
        <v>2</v>
      </c>
      <c r="U17" s="51">
        <f>'Fixed inputs'!U168</f>
        <v>3</v>
      </c>
      <c r="V17" s="51">
        <f>'Fixed inputs'!V168</f>
        <v>4</v>
      </c>
      <c r="W17" s="51">
        <f>'Fixed inputs'!W168</f>
        <v>0</v>
      </c>
      <c r="X17" s="51">
        <f>'Fixed inputs'!X168</f>
        <v>1</v>
      </c>
      <c r="Y17" s="51">
        <f>'Fixed inputs'!Y168</f>
        <v>2</v>
      </c>
      <c r="Z17" s="51">
        <f>'Fixed inputs'!Z168</f>
        <v>3</v>
      </c>
      <c r="AA17" s="51">
        <f>'Fixed inputs'!AA168</f>
        <v>4</v>
      </c>
      <c r="AB17" s="51">
        <f>'Fixed inputs'!AB168</f>
        <v>0</v>
      </c>
      <c r="AC17" s="51">
        <f>'Fixed inputs'!AC168</f>
        <v>1</v>
      </c>
      <c r="AD17" s="51">
        <f>'Fixed inputs'!AD168</f>
        <v>2</v>
      </c>
      <c r="AE17" s="51">
        <f>'Fixed inputs'!AE168</f>
        <v>3</v>
      </c>
      <c r="AF17" s="51">
        <f>'Fixed inputs'!AF168</f>
        <v>4</v>
      </c>
      <c r="AG17" s="51">
        <f>'Fixed inputs'!AG168</f>
        <v>1</v>
      </c>
      <c r="AH17" s="51">
        <f>'Fixed inputs'!AH168</f>
        <v>0</v>
      </c>
      <c r="AI17" s="51">
        <f>'Fixed inputs'!AI168</f>
        <v>0</v>
      </c>
      <c r="AJ17" s="51">
        <f>'Fixed inputs'!AJ168</f>
        <v>0</v>
      </c>
      <c r="AK17" s="51">
        <f>'Fixed inputs'!AK168</f>
        <v>0</v>
      </c>
      <c r="AL17" s="51">
        <f>'Fixed inputs'!AL168</f>
        <v>0</v>
      </c>
      <c r="AM17" s="51">
        <f>'Fixed inputs'!AM168</f>
        <v>0</v>
      </c>
      <c r="AN17" s="51">
        <f>'Fixed inputs'!AN168</f>
        <v>0</v>
      </c>
      <c r="AO17" s="51">
        <f>'Fixed inputs'!AO168</f>
        <v>0</v>
      </c>
    </row>
    <row r="18" spans="1:43" x14ac:dyDescent="0.35">
      <c r="D18" s="32"/>
    </row>
    <row r="19" spans="1:43" x14ac:dyDescent="0.35">
      <c r="A19" s="320"/>
      <c r="E19" s="32" t="s">
        <v>245</v>
      </c>
      <c r="I19" t="s">
        <v>154</v>
      </c>
      <c r="AQ19" t="s">
        <v>246</v>
      </c>
    </row>
    <row r="20" spans="1:43" x14ac:dyDescent="0.35">
      <c r="A20" s="320"/>
      <c r="E20" s="32"/>
      <c r="F20" s="29" t="s">
        <v>1039</v>
      </c>
    </row>
    <row r="21" spans="1:43" x14ac:dyDescent="0.35">
      <c r="A21" s="320"/>
      <c r="E21" s="32"/>
      <c r="F21" s="29" t="s">
        <v>1035</v>
      </c>
    </row>
    <row r="22" spans="1:43" x14ac:dyDescent="0.35">
      <c r="A22" s="320"/>
      <c r="F22" s="78" t="s">
        <v>247</v>
      </c>
      <c r="G22" s="78" t="s">
        <v>207</v>
      </c>
      <c r="H22" s="325">
        <v>0</v>
      </c>
      <c r="I22" s="23"/>
      <c r="J22" s="193">
        <f>INDEX('Volume adjustments'!$J$527:$Y$567,J$17 + 1 + $H22*$H$28, J$15)</f>
        <v>322302.2649968901</v>
      </c>
      <c r="K22" s="193">
        <f>INDEX('Volume adjustments'!$J$527:$Y$567,K$17 + 1 + $H22*$H$28, K$15)</f>
        <v>9396.1650095049135</v>
      </c>
      <c r="L22" s="193">
        <f>INDEX('Volume adjustments'!$J$527:$Y$567,L$17 + 1 + $H22*$H$28, L$15)</f>
        <v>0</v>
      </c>
      <c r="M22" s="193">
        <f>INDEX('Volume adjustments'!$J$527:$Y$567,M$17 + 1 + $H22*$H$28, M$15)</f>
        <v>3440.4390905533428</v>
      </c>
      <c r="N22" s="193">
        <f>INDEX('Volume adjustments'!$J$527:$Y$567,N$17 + 1 + $H22*$H$28, N$15)</f>
        <v>16514.787577313004</v>
      </c>
      <c r="O22" s="193">
        <f>INDEX('Volume adjustments'!$J$527:$Y$567,O$17 + 1 + $H22*$H$28, O$15)</f>
        <v>23010.46824760376</v>
      </c>
      <c r="P22" s="193">
        <f>INDEX('Volume adjustments'!$J$527:$Y$567,P$17 + 1 + $H22*$H$28, P$15)</f>
        <v>60897.322396953918</v>
      </c>
      <c r="Q22" s="193">
        <f>INDEX('Volume adjustments'!$J$527:$Y$567,Q$17 + 1 + $H22*$H$28, Q$15)</f>
        <v>454.90419700623829</v>
      </c>
      <c r="R22" s="193">
        <f>INDEX('Volume adjustments'!$J$527:$Y$567,R$17 + 1 + $H22*$H$28, R$15)</f>
        <v>0</v>
      </c>
      <c r="S22" s="193">
        <f>INDEX('Volume adjustments'!$J$527:$Y$567,S$17 + 1 + $H22*$H$28, S$15)</f>
        <v>28727.815582636696</v>
      </c>
      <c r="T22" s="193">
        <f>INDEX('Volume adjustments'!$J$527:$Y$567,T$17 + 1 + $H22*$H$28, T$15)</f>
        <v>29513.838714151007</v>
      </c>
      <c r="U22" s="193">
        <f>INDEX('Volume adjustments'!$J$527:$Y$567,U$17 + 1 + $H22*$H$28, U$15)</f>
        <v>22315.72923755012</v>
      </c>
      <c r="V22" s="193">
        <f>INDEX('Volume adjustments'!$J$527:$Y$567,V$17 + 1 + $H22*$H$28, V$15)</f>
        <v>60741.856601798361</v>
      </c>
      <c r="W22" s="193">
        <f>INDEX('Volume adjustments'!$J$527:$Y$567,W$17 + 1 + $H22*$H$28, W$15)</f>
        <v>0</v>
      </c>
      <c r="X22" s="193">
        <f>INDEX('Volume adjustments'!$J$527:$Y$567,X$17 + 1 + $H22*$H$28, X$15)</f>
        <v>637.36533546418946</v>
      </c>
      <c r="Y22" s="193">
        <f>INDEX('Volume adjustments'!$J$527:$Y$567,Y$17 + 1 + $H22*$H$28, Y$15)</f>
        <v>390.93384375875104</v>
      </c>
      <c r="Z22" s="193">
        <f>INDEX('Volume adjustments'!$J$527:$Y$567,Z$17 + 1 + $H22*$H$28, Z$15)</f>
        <v>1158.1933767064754</v>
      </c>
      <c r="AA22" s="193">
        <f>INDEX('Volume adjustments'!$J$527:$Y$567,AA$17 + 1 + $H22*$H$28, AA$15)</f>
        <v>9045.6259387962073</v>
      </c>
      <c r="AB22" s="193">
        <f>INDEX('Volume adjustments'!$J$527:$Y$567,AB$17 + 1 + $H22*$H$28, AB$15)</f>
        <v>0</v>
      </c>
      <c r="AC22" s="193">
        <f>INDEX('Volume adjustments'!$J$527:$Y$567,AC$17 + 1 + $H22*$H$28, AC$15)</f>
        <v>6871.6648257276338</v>
      </c>
      <c r="AD22" s="193">
        <f>INDEX('Volume adjustments'!$J$527:$Y$567,AD$17 + 1 + $H22*$H$28, AD$15)</f>
        <v>19107.04821857742</v>
      </c>
      <c r="AE22" s="193">
        <f>INDEX('Volume adjustments'!$J$527:$Y$567,AE$17 + 1 + $H22*$H$28, AE$15)</f>
        <v>15997.757150763569</v>
      </c>
      <c r="AF22" s="193">
        <f>INDEX('Volume adjustments'!$J$527:$Y$567,AF$17 + 1 + $H22*$H$28, AF$15)</f>
        <v>32103.945803267059</v>
      </c>
      <c r="AG22" s="193">
        <f>INDEX('Volume adjustments'!$J$527:$Y$567,AG$17 + 1 + $H22*$H$28, AG$15)</f>
        <v>6021.5121963867368</v>
      </c>
      <c r="AH22" s="193">
        <f>INDEX('Volume adjustments'!$J$527:$Y$567,AH$17 + 1 + $H22*$H$28, AH$15)</f>
        <v>650.78467700282442</v>
      </c>
      <c r="AI22" s="193">
        <f>INDEX('Volume adjustments'!$J$527:$Y$567,AI$17 + 1 + $H22*$H$28, AI$15)</f>
        <v>0.19900000000000004</v>
      </c>
      <c r="AJ22" s="193">
        <f>INDEX('Volume adjustments'!$J$527:$Y$567,AJ$17 + 1 + $H22*$H$28, AJ$15)</f>
        <v>37028.598245563808</v>
      </c>
      <c r="AK22" s="193">
        <f>INDEX('Volume adjustments'!$J$527:$Y$567,AK$17 + 1 + $H22*$H$28, AK$15)</f>
        <v>0</v>
      </c>
      <c r="AL22" s="193">
        <f>INDEX('Volume adjustments'!$J$527:$Y$567,AL$17 + 1 + $H22*$H$28, AL$15)</f>
        <v>324.10167419354838</v>
      </c>
      <c r="AM22" s="193">
        <f>INDEX('Volume adjustments'!$J$527:$Y$567,AM$17 + 1 + $H22*$H$28, AM$15)</f>
        <v>0</v>
      </c>
      <c r="AN22" s="193">
        <f>INDEX('Volume adjustments'!$J$527:$Y$567,AN$17 + 1 + $H22*$H$28, AN$15)</f>
        <v>166464.50181248464</v>
      </c>
      <c r="AO22" s="193">
        <f>INDEX('Volume adjustments'!$J$527:$Y$567,AO$17 + 1 + $H22*$H$28, AO$15)</f>
        <v>0</v>
      </c>
    </row>
    <row r="23" spans="1:43" x14ac:dyDescent="0.35">
      <c r="A23" s="320"/>
      <c r="E23" s="28"/>
      <c r="F23" s="72" t="s">
        <v>248</v>
      </c>
      <c r="G23" s="72" t="s">
        <v>207</v>
      </c>
      <c r="H23" s="376">
        <v>1</v>
      </c>
      <c r="J23" s="339">
        <f>INDEX('Volume adjustments'!$J$527:$Y$567,J$17 + 1 + $H23*$H$28, J$15)</f>
        <v>1235375.6941167442</v>
      </c>
      <c r="K23" s="339">
        <f>INDEX('Volume adjustments'!$J$527:$Y$567,K$17 + 1 + $H23*$H$28, K$15)</f>
        <v>146290.47824065451</v>
      </c>
      <c r="L23" s="339">
        <f>INDEX('Volume adjustments'!$J$527:$Y$567,L$17 + 1 + $H23*$H$28, L$15)</f>
        <v>0</v>
      </c>
      <c r="M23" s="339">
        <f>INDEX('Volume adjustments'!$J$527:$Y$567,M$17 + 1 + $H23*$H$28, M$15)</f>
        <v>17908.098477887361</v>
      </c>
      <c r="N23" s="339">
        <f>INDEX('Volume adjustments'!$J$527:$Y$567,N$17 + 1 + $H23*$H$28, N$15)</f>
        <v>85962.411916539815</v>
      </c>
      <c r="O23" s="339">
        <f>INDEX('Volume adjustments'!$J$527:$Y$567,O$17 + 1 + $H23*$H$28, O$15)</f>
        <v>119773.58719468348</v>
      </c>
      <c r="P23" s="339">
        <f>INDEX('Volume adjustments'!$J$527:$Y$567,P$17 + 1 + $H23*$H$28, P$15)</f>
        <v>316981.41365697217</v>
      </c>
      <c r="Q23" s="339">
        <f>INDEX('Volume adjustments'!$J$527:$Y$567,Q$17 + 1 + $H23*$H$28, Q$15)</f>
        <v>8911.3295663483332</v>
      </c>
      <c r="R23" s="339">
        <f>INDEX('Volume adjustments'!$J$527:$Y$567,R$17 + 1 + $H23*$H$28, R$15)</f>
        <v>0</v>
      </c>
      <c r="S23" s="339">
        <f>INDEX('Volume adjustments'!$J$527:$Y$567,S$17 + 1 + $H23*$H$28, S$15)</f>
        <v>143762.10976742959</v>
      </c>
      <c r="T23" s="339">
        <f>INDEX('Volume adjustments'!$J$527:$Y$567,T$17 + 1 + $H23*$H$28, T$15)</f>
        <v>147695.59170542969</v>
      </c>
      <c r="U23" s="339">
        <f>INDEX('Volume adjustments'!$J$527:$Y$567,U$17 + 1 + $H23*$H$28, U$15)</f>
        <v>111674.21716978548</v>
      </c>
      <c r="V23" s="339">
        <f>INDEX('Volume adjustments'!$J$527:$Y$567,V$17 + 1 + $H23*$H$28, V$15)</f>
        <v>303969.42054804601</v>
      </c>
      <c r="W23" s="339">
        <f>INDEX('Volume adjustments'!$J$527:$Y$567,W$17 + 1 + $H23*$H$28, W$15)</f>
        <v>0</v>
      </c>
      <c r="X23" s="339">
        <f>INDEX('Volume adjustments'!$J$527:$Y$567,X$17 + 1 + $H23*$H$28, X$15)</f>
        <v>3009.0799200252268</v>
      </c>
      <c r="Y23" s="339">
        <f>INDEX('Volume adjustments'!$J$527:$Y$567,Y$17 + 1 + $H23*$H$28, Y$15)</f>
        <v>1845.646623464402</v>
      </c>
      <c r="Z23" s="339">
        <f>INDEX('Volume adjustments'!$J$527:$Y$567,Z$17 + 1 + $H23*$H$28, Z$15)</f>
        <v>5467.9729810148729</v>
      </c>
      <c r="AA23" s="339">
        <f>INDEX('Volume adjustments'!$J$527:$Y$567,AA$17 + 1 + $H23*$H$28, AA$15)</f>
        <v>42705.509480944012</v>
      </c>
      <c r="AB23" s="339">
        <f>INDEX('Volume adjustments'!$J$527:$Y$567,AB$17 + 1 + $H23*$H$28, AB$15)</f>
        <v>0</v>
      </c>
      <c r="AC23" s="339">
        <f>INDEX('Volume adjustments'!$J$527:$Y$567,AC$17 + 1 + $H23*$H$28, AC$15)</f>
        <v>33930.257102388103</v>
      </c>
      <c r="AD23" s="339">
        <f>INDEX('Volume adjustments'!$J$527:$Y$567,AD$17 + 1 + $H23*$H$28, AD$15)</f>
        <v>94344.976794675051</v>
      </c>
      <c r="AE23" s="339">
        <f>INDEX('Volume adjustments'!$J$527:$Y$567,AE$17 + 1 + $H23*$H$28, AE$15)</f>
        <v>78992.213234075811</v>
      </c>
      <c r="AF23" s="339">
        <f>INDEX('Volume adjustments'!$J$527:$Y$567,AF$17 + 1 + $H23*$H$28, AF$15)</f>
        <v>158519.82928906029</v>
      </c>
      <c r="AG23" s="339">
        <f>INDEX('Volume adjustments'!$J$527:$Y$567,AG$17 + 1 + $H23*$H$28, AG$15)</f>
        <v>29213.624042833315</v>
      </c>
      <c r="AH23" s="339">
        <f>INDEX('Volume adjustments'!$J$527:$Y$567,AH$17 + 1 + $H23*$H$28, AH$15)</f>
        <v>3502.3381089269142</v>
      </c>
      <c r="AI23" s="339">
        <f>INDEX('Volume adjustments'!$J$527:$Y$567,AI$17 + 1 + $H23*$H$28, AI$15)</f>
        <v>1.391</v>
      </c>
      <c r="AJ23" s="339">
        <f>INDEX('Volume adjustments'!$J$527:$Y$567,AJ$17 + 1 + $H23*$H$28, AJ$15)</f>
        <v>177224.06606561315</v>
      </c>
      <c r="AK23" s="339">
        <f>INDEX('Volume adjustments'!$J$527:$Y$567,AK$17 + 1 + $H23*$H$28, AK$15)</f>
        <v>0</v>
      </c>
      <c r="AL23" s="339">
        <f>INDEX('Volume adjustments'!$J$527:$Y$567,AL$17 + 1 + $H23*$H$28, AL$15)</f>
        <v>1487.9755864997869</v>
      </c>
      <c r="AM23" s="339">
        <f>INDEX('Volume adjustments'!$J$527:$Y$567,AM$17 + 1 + $H23*$H$28, AM$15)</f>
        <v>0</v>
      </c>
      <c r="AN23" s="339">
        <f>INDEX('Volume adjustments'!$J$527:$Y$567,AN$17 + 1 + $H23*$H$28, AN$15)</f>
        <v>712457.12239743408</v>
      </c>
      <c r="AO23" s="339">
        <f>INDEX('Volume adjustments'!$J$527:$Y$567,AO$17 + 1 + $H23*$H$28, AO$15)</f>
        <v>0</v>
      </c>
    </row>
    <row r="24" spans="1:43" x14ac:dyDescent="0.35">
      <c r="A24" s="320"/>
      <c r="E24" s="28"/>
      <c r="F24" s="72" t="s">
        <v>249</v>
      </c>
      <c r="G24" s="72" t="s">
        <v>207</v>
      </c>
      <c r="H24" s="376">
        <v>2</v>
      </c>
      <c r="J24" s="339">
        <f>INDEX('Volume adjustments'!$J$527:$Y$567,J$17 + 1 + $H24*$H$28, J$15)</f>
        <v>1012593.7290870433</v>
      </c>
      <c r="K24" s="339">
        <f>INDEX('Volume adjustments'!$J$527:$Y$567,K$17 + 1 + $H24*$H$28, K$15)</f>
        <v>211336.36964169086</v>
      </c>
      <c r="L24" s="339">
        <f>INDEX('Volume adjustments'!$J$527:$Y$567,L$17 + 1 + $H24*$H$28, L$15)</f>
        <v>0</v>
      </c>
      <c r="M24" s="339">
        <f>INDEX('Volume adjustments'!$J$527:$Y$567,M$17 + 1 + $H24*$H$28, M$15)</f>
        <v>12003.980648340061</v>
      </c>
      <c r="N24" s="339">
        <f>INDEX('Volume adjustments'!$J$527:$Y$567,N$17 + 1 + $H24*$H$28, N$15)</f>
        <v>57621.479489011297</v>
      </c>
      <c r="O24" s="339">
        <f>INDEX('Volume adjustments'!$J$527:$Y$567,O$17 + 1 + $H24*$H$28, O$15)</f>
        <v>80285.454351425127</v>
      </c>
      <c r="P24" s="339">
        <f>INDEX('Volume adjustments'!$J$527:$Y$567,P$17 + 1 + $H24*$H$28, P$15)</f>
        <v>212475.86727983275</v>
      </c>
      <c r="Q24" s="339">
        <f>INDEX('Volume adjustments'!$J$527:$Y$567,Q$17 + 1 + $H24*$H$28, Q$15)</f>
        <v>14290.612390057293</v>
      </c>
      <c r="R24" s="339">
        <f>INDEX('Volume adjustments'!$J$527:$Y$567,R$17 + 1 + $H24*$H$28, R$15)</f>
        <v>0</v>
      </c>
      <c r="S24" s="339">
        <f>INDEX('Volume adjustments'!$J$527:$Y$567,S$17 + 1 + $H24*$H$28, S$15)</f>
        <v>114821.4396496292</v>
      </c>
      <c r="T24" s="339">
        <f>INDEX('Volume adjustments'!$J$527:$Y$567,T$17 + 1 + $H24*$H$28, T$15)</f>
        <v>117963.07453303231</v>
      </c>
      <c r="U24" s="339">
        <f>INDEX('Volume adjustments'!$J$527:$Y$567,U$17 + 1 + $H24*$H$28, U$15)</f>
        <v>89193.142810186881</v>
      </c>
      <c r="V24" s="339">
        <f>INDEX('Volume adjustments'!$J$527:$Y$567,V$17 + 1 + $H24*$H$28, V$15)</f>
        <v>242777.50607064052</v>
      </c>
      <c r="W24" s="339">
        <f>INDEX('Volume adjustments'!$J$527:$Y$567,W$17 + 1 + $H24*$H$28, W$15)</f>
        <v>0</v>
      </c>
      <c r="X24" s="339">
        <f>INDEX('Volume adjustments'!$J$527:$Y$567,X$17 + 1 + $H24*$H$28, X$15)</f>
        <v>2935.9701037509471</v>
      </c>
      <c r="Y24" s="339">
        <f>INDEX('Volume adjustments'!$J$527:$Y$567,Y$17 + 1 + $H24*$H$28, Y$15)</f>
        <v>1800.8040506065845</v>
      </c>
      <c r="Z24" s="339">
        <f>INDEX('Volume adjustments'!$J$527:$Y$567,Z$17 + 1 + $H24*$H$28, Z$15)</f>
        <v>5335.120909730781</v>
      </c>
      <c r="AA24" s="339">
        <f>INDEX('Volume adjustments'!$J$527:$Y$567,AA$17 + 1 + $H24*$H$28, AA$15)</f>
        <v>41667.919242388591</v>
      </c>
      <c r="AB24" s="339">
        <f>INDEX('Volume adjustments'!$J$527:$Y$567,AB$17 + 1 + $H24*$H$28, AB$15)</f>
        <v>0</v>
      </c>
      <c r="AC24" s="339">
        <f>INDEX('Volume adjustments'!$J$527:$Y$567,AC$17 + 1 + $H24*$H$28, AC$15)</f>
        <v>31487.123666606396</v>
      </c>
      <c r="AD24" s="339">
        <f>INDEX('Volume adjustments'!$J$527:$Y$567,AD$17 + 1 + $H24*$H$28, AD$15)</f>
        <v>87551.707689475821</v>
      </c>
      <c r="AE24" s="339">
        <f>INDEX('Volume adjustments'!$J$527:$Y$567,AE$17 + 1 + $H24*$H$28, AE$15)</f>
        <v>73304.413205440433</v>
      </c>
      <c r="AF24" s="339">
        <f>INDEX('Volume adjustments'!$J$527:$Y$567,AF$17 + 1 + $H24*$H$28, AF$15)</f>
        <v>147105.67778405288</v>
      </c>
      <c r="AG24" s="339">
        <f>INDEX('Volume adjustments'!$J$527:$Y$567,AG$17 + 1 + $H24*$H$28, AG$15)</f>
        <v>60911.812464155897</v>
      </c>
      <c r="AH24" s="339">
        <f>INDEX('Volume adjustments'!$J$527:$Y$567,AH$17 + 1 + $H24*$H$28, AH$15)</f>
        <v>2112.3642325825435</v>
      </c>
      <c r="AI24" s="339">
        <f>INDEX('Volume adjustments'!$J$527:$Y$567,AI$17 + 1 + $H24*$H$28, AI$15)</f>
        <v>0.64400000000000013</v>
      </c>
      <c r="AJ24" s="339">
        <f>INDEX('Volume adjustments'!$J$527:$Y$567,AJ$17 + 1 + $H24*$H$28, AJ$15)</f>
        <v>193113.18812858776</v>
      </c>
      <c r="AK24" s="339">
        <f>INDEX('Volume adjustments'!$J$527:$Y$567,AK$17 + 1 + $H24*$H$28, AK$15)</f>
        <v>0</v>
      </c>
      <c r="AL24" s="339">
        <f>INDEX('Volume adjustments'!$J$527:$Y$567,AL$17 + 1 + $H24*$H$28, AL$15)</f>
        <v>1570.8366193548386</v>
      </c>
      <c r="AM24" s="339">
        <f>INDEX('Volume adjustments'!$J$527:$Y$567,AM$17 + 1 + $H24*$H$28, AM$15)</f>
        <v>0</v>
      </c>
      <c r="AN24" s="339">
        <f>INDEX('Volume adjustments'!$J$527:$Y$567,AN$17 + 1 + $H24*$H$28, AN$15)</f>
        <v>746890.70756556396</v>
      </c>
      <c r="AO24" s="339">
        <f>INDEX('Volume adjustments'!$J$527:$Y$567,AO$17 + 1 + $H24*$H$28, AO$15)</f>
        <v>0</v>
      </c>
    </row>
    <row r="25" spans="1:43" x14ac:dyDescent="0.35">
      <c r="A25" s="320"/>
      <c r="E25" s="28"/>
      <c r="F25" s="72" t="s">
        <v>212</v>
      </c>
      <c r="G25" s="72" t="s">
        <v>212</v>
      </c>
      <c r="H25" s="376">
        <v>3</v>
      </c>
      <c r="J25" s="339">
        <f>INDEX('Volume adjustments'!$J$527:$Y$567,J$17 + 1 + $H25*$H$28, J$15)</f>
        <v>706592.44030903245</v>
      </c>
      <c r="K25" s="339">
        <f>INDEX('Volume adjustments'!$J$527:$Y$567,K$17 + 1 + $H25*$H$28, K$15)</f>
        <v>72371.122331145176</v>
      </c>
      <c r="L25" s="339">
        <f>INDEX('Volume adjustments'!$J$527:$Y$567,L$17 + 1 + $H25*$H$28, L$15)</f>
        <v>0</v>
      </c>
      <c r="M25" s="339">
        <f>INDEX('Volume adjustments'!$J$527:$Y$567,M$17 + 1 + $H25*$H$28, M$15)</f>
        <v>28310.269475554884</v>
      </c>
      <c r="N25" s="339">
        <f>INDEX('Volume adjustments'!$J$527:$Y$567,N$17 + 1 + $H25*$H$28, N$15)</f>
        <v>22964.998255410857</v>
      </c>
      <c r="O25" s="339">
        <f>INDEX('Volume adjustments'!$J$527:$Y$567,O$17 + 1 + $H25*$H$28, O$15)</f>
        <v>12966.908760035867</v>
      </c>
      <c r="P25" s="339">
        <f>INDEX('Volume adjustments'!$J$527:$Y$567,P$17 + 1 + $H25*$H$28, P$15)</f>
        <v>10488.043595893307</v>
      </c>
      <c r="Q25" s="339">
        <f>INDEX('Volume adjustments'!$J$527:$Y$567,Q$17 + 1 + $H25*$H$28, Q$15)</f>
        <v>2436.905804440873</v>
      </c>
      <c r="R25" s="339">
        <f>INDEX('Volume adjustments'!$J$527:$Y$567,R$17 + 1 + $H25*$H$28, R$15)</f>
        <v>0</v>
      </c>
      <c r="S25" s="339">
        <f>INDEX('Volume adjustments'!$J$527:$Y$567,S$17 + 1 + $H25*$H$28, S$15)</f>
        <v>3238.8641752857038</v>
      </c>
      <c r="T25" s="339">
        <f>INDEX('Volume adjustments'!$J$527:$Y$567,T$17 + 1 + $H25*$H$28, T$15)</f>
        <v>1743.2771857257139</v>
      </c>
      <c r="U25" s="339">
        <f>INDEX('Volume adjustments'!$J$527:$Y$567,U$17 + 1 + $H25*$H$28, U$15)</f>
        <v>801.84453335005753</v>
      </c>
      <c r="V25" s="339">
        <f>INDEX('Volume adjustments'!$J$527:$Y$567,V$17 + 1 + $H25*$H$28, V$15)</f>
        <v>984.4635762858037</v>
      </c>
      <c r="W25" s="339">
        <f>INDEX('Volume adjustments'!$J$527:$Y$567,W$17 + 1 + $H25*$H$28, W$15)</f>
        <v>0</v>
      </c>
      <c r="X25" s="339">
        <f>INDEX('Volume adjustments'!$J$527:$Y$567,X$17 + 1 + $H25*$H$28, X$15)</f>
        <v>9.835917905749147</v>
      </c>
      <c r="Y25" s="339">
        <f>INDEX('Volume adjustments'!$J$527:$Y$567,Y$17 + 1 + $H25*$H$28, Y$15)</f>
        <v>13.114557207665531</v>
      </c>
      <c r="Z25" s="339">
        <f>INDEX('Volume adjustments'!$J$527:$Y$567,Z$17 + 1 + $H25*$H$28, Z$15)</f>
        <v>26.229114415331061</v>
      </c>
      <c r="AA25" s="339">
        <f>INDEX('Volume adjustments'!$J$527:$Y$567,AA$17 + 1 + $H25*$H$28, AA$15)</f>
        <v>71.037184874854958</v>
      </c>
      <c r="AB25" s="339">
        <f>INDEX('Volume adjustments'!$J$527:$Y$567,AB$17 + 1 + $H25*$H$28, AB$15)</f>
        <v>0</v>
      </c>
      <c r="AC25" s="339">
        <f>INDEX('Volume adjustments'!$J$527:$Y$567,AC$17 + 1 + $H25*$H$28, AC$15)</f>
        <v>429.47801019678843</v>
      </c>
      <c r="AD25" s="339">
        <f>INDEX('Volume adjustments'!$J$527:$Y$567,AD$17 + 1 + $H25*$H$28, AD$15)</f>
        <v>153.45856959069897</v>
      </c>
      <c r="AE25" s="339">
        <f>INDEX('Volume adjustments'!$J$527:$Y$567,AE$17 + 1 + $H25*$H$28, AE$15)</f>
        <v>59.735550578929804</v>
      </c>
      <c r="AF25" s="339">
        <f>INDEX('Volume adjustments'!$J$527:$Y$567,AF$17 + 1 + $H25*$H$28, AF$15)</f>
        <v>54.585934149711711</v>
      </c>
      <c r="AG25" s="339">
        <f>INDEX('Volume adjustments'!$J$527:$Y$567,AG$17 + 1 + $H25*$H$28, AG$15)</f>
        <v>1886.5806451612905</v>
      </c>
      <c r="AH25" s="339">
        <f>INDEX('Volume adjustments'!$J$527:$Y$567,AH$17 + 1 + $H25*$H$28, AH$15)</f>
        <v>376.80645161290334</v>
      </c>
      <c r="AI25" s="339">
        <f>INDEX('Volume adjustments'!$J$527:$Y$567,AI$17 + 1 + $H25*$H$28, AI$15)</f>
        <v>1</v>
      </c>
      <c r="AJ25" s="339">
        <f>INDEX('Volume adjustments'!$J$527:$Y$567,AJ$17 + 1 + $H25*$H$28, AJ$15)</f>
        <v>812.9295222209638</v>
      </c>
      <c r="AK25" s="339">
        <f>INDEX('Volume adjustments'!$J$527:$Y$567,AK$17 + 1 + $H25*$H$28, AK$15)</f>
        <v>0</v>
      </c>
      <c r="AL25" s="339">
        <f>INDEX('Volume adjustments'!$J$527:$Y$567,AL$17 + 1 + $H25*$H$28, AL$15)</f>
        <v>2</v>
      </c>
      <c r="AM25" s="339">
        <f>INDEX('Volume adjustments'!$J$527:$Y$567,AM$17 + 1 + $H25*$H$28, AM$15)</f>
        <v>0</v>
      </c>
      <c r="AN25" s="339">
        <f>INDEX('Volume adjustments'!$J$527:$Y$567,AN$17 + 1 + $H25*$H$28, AN$15)</f>
        <v>348.45161290322585</v>
      </c>
      <c r="AO25" s="339">
        <f>INDEX('Volume adjustments'!$J$527:$Y$567,AO$17 + 1 + $H25*$H$28, AO$15)</f>
        <v>0</v>
      </c>
    </row>
    <row r="26" spans="1:43" x14ac:dyDescent="0.35">
      <c r="A26" s="320"/>
      <c r="E26" s="28"/>
      <c r="F26" s="72" t="s">
        <v>250</v>
      </c>
      <c r="G26" s="72" t="s">
        <v>251</v>
      </c>
      <c r="H26" s="376">
        <v>4</v>
      </c>
      <c r="J26" s="339">
        <f>INDEX('Volume adjustments'!$J$527:$Y$567,J$17 + 1 + $H26*$H$28, J$15)</f>
        <v>0</v>
      </c>
      <c r="K26" s="339">
        <f>INDEX('Volume adjustments'!$J$527:$Y$567,K$17 + 1 + $H26*$H$28, K$15)</f>
        <v>0</v>
      </c>
      <c r="L26" s="339">
        <f>INDEX('Volume adjustments'!$J$527:$Y$567,L$17 + 1 + $H26*$H$28, L$15)</f>
        <v>0</v>
      </c>
      <c r="M26" s="339">
        <f>INDEX('Volume adjustments'!$J$527:$Y$567,M$17 + 1 + $H26*$H$28, M$15)</f>
        <v>0</v>
      </c>
      <c r="N26" s="339">
        <f>INDEX('Volume adjustments'!$J$527:$Y$567,N$17 + 1 + $H26*$H$28, N$15)</f>
        <v>0</v>
      </c>
      <c r="O26" s="339">
        <f>INDEX('Volume adjustments'!$J$527:$Y$567,O$17 + 1 + $H26*$H$28, O$15)</f>
        <v>0</v>
      </c>
      <c r="P26" s="339">
        <f>INDEX('Volume adjustments'!$J$527:$Y$567,P$17 + 1 + $H26*$H$28, P$15)</f>
        <v>0</v>
      </c>
      <c r="Q26" s="339">
        <f>INDEX('Volume adjustments'!$J$527:$Y$567,Q$17 + 1 + $H26*$H$28, Q$15)</f>
        <v>0</v>
      </c>
      <c r="R26" s="339">
        <f>INDEX('Volume adjustments'!$J$527:$Y$567,R$17 + 1 + $H26*$H$28, R$15)</f>
        <v>0</v>
      </c>
      <c r="S26" s="339">
        <f>INDEX('Volume adjustments'!$J$527:$Y$567,S$17 + 1 + $H26*$H$28, S$15)</f>
        <v>178923.90872332305</v>
      </c>
      <c r="T26" s="339">
        <f>INDEX('Volume adjustments'!$J$527:$Y$567,T$17 + 1 + $H26*$H$28, T$15)</f>
        <v>183819.45431859934</v>
      </c>
      <c r="U26" s="339">
        <f>INDEX('Volume adjustments'!$J$527:$Y$567,U$17 + 1 + $H26*$H$28, U$15)</f>
        <v>138987.856201886</v>
      </c>
      <c r="V26" s="339">
        <f>INDEX('Volume adjustments'!$J$527:$Y$567,V$17 + 1 + $H26*$H$28, V$15)</f>
        <v>378315.23858967365</v>
      </c>
      <c r="W26" s="339">
        <f>INDEX('Volume adjustments'!$J$527:$Y$567,W$17 + 1 + $H26*$H$28, W$15)</f>
        <v>0</v>
      </c>
      <c r="X26" s="339">
        <f>INDEX('Volume adjustments'!$J$527:$Y$567,X$17 + 1 + $H26*$H$28, X$15)</f>
        <v>2459.3578134546037</v>
      </c>
      <c r="Y26" s="339">
        <f>INDEX('Volume adjustments'!$J$527:$Y$567,Y$17 + 1 + $H26*$H$28, Y$15)</f>
        <v>1508.4695537947794</v>
      </c>
      <c r="Z26" s="339">
        <f>INDEX('Volume adjustments'!$J$527:$Y$567,Z$17 + 1 + $H26*$H$28, Z$15)</f>
        <v>4469.0411793731455</v>
      </c>
      <c r="AA26" s="339">
        <f>INDEX('Volume adjustments'!$J$527:$Y$567,AA$17 + 1 + $H26*$H$28, AA$15)</f>
        <v>34903.735098746998</v>
      </c>
      <c r="AB26" s="339">
        <f>INDEX('Volume adjustments'!$J$527:$Y$567,AB$17 + 1 + $H26*$H$28, AB$15)</f>
        <v>0</v>
      </c>
      <c r="AC26" s="339">
        <f>INDEX('Volume adjustments'!$J$527:$Y$567,AC$17 + 1 + $H26*$H$28, AC$15)</f>
        <v>36447.354161456627</v>
      </c>
      <c r="AD26" s="339">
        <f>INDEX('Volume adjustments'!$J$527:$Y$567,AD$17 + 1 + $H26*$H$28, AD$15)</f>
        <v>101343.90588946964</v>
      </c>
      <c r="AE26" s="339">
        <f>INDEX('Volume adjustments'!$J$527:$Y$567,AE$17 + 1 + $H26*$H$28, AE$15)</f>
        <v>84852.206190239158</v>
      </c>
      <c r="AF26" s="339">
        <f>INDEX('Volume adjustments'!$J$527:$Y$567,AF$17 + 1 + $H26*$H$28, AF$15)</f>
        <v>170279.53375883441</v>
      </c>
      <c r="AG26" s="339">
        <f>INDEX('Volume adjustments'!$J$527:$Y$567,AG$17 + 1 + $H26*$H$28, AG$15)</f>
        <v>0</v>
      </c>
      <c r="AH26" s="339">
        <f>INDEX('Volume adjustments'!$J$527:$Y$567,AH$17 + 1 + $H26*$H$28, AH$15)</f>
        <v>0</v>
      </c>
      <c r="AI26" s="339">
        <f>INDEX('Volume adjustments'!$J$527:$Y$567,AI$17 + 1 + $H26*$H$28, AI$15)</f>
        <v>0</v>
      </c>
      <c r="AJ26" s="339">
        <f>INDEX('Volume adjustments'!$J$527:$Y$567,AJ$17 + 1 + $H26*$H$28, AJ$15)</f>
        <v>0</v>
      </c>
      <c r="AK26" s="339">
        <f>INDEX('Volume adjustments'!$J$527:$Y$567,AK$17 + 1 + $H26*$H$28, AK$15)</f>
        <v>0</v>
      </c>
      <c r="AL26" s="339">
        <f>INDEX('Volume adjustments'!$J$527:$Y$567,AL$17 + 1 + $H26*$H$28, AL$15)</f>
        <v>0</v>
      </c>
      <c r="AM26" s="339">
        <f>INDEX('Volume adjustments'!$J$527:$Y$567,AM$17 + 1 + $H26*$H$28, AM$15)</f>
        <v>0</v>
      </c>
      <c r="AN26" s="339">
        <f>INDEX('Volume adjustments'!$J$527:$Y$567,AN$17 + 1 + $H26*$H$28, AN$15)</f>
        <v>0</v>
      </c>
      <c r="AO26" s="339">
        <f>INDEX('Volume adjustments'!$J$527:$Y$567,AO$17 + 1 + $H26*$H$28, AO$15)</f>
        <v>0</v>
      </c>
    </row>
    <row r="27" spans="1:43" x14ac:dyDescent="0.35">
      <c r="A27" s="320"/>
      <c r="E27" s="28"/>
      <c r="F27" s="72" t="s">
        <v>252</v>
      </c>
      <c r="G27" s="72" t="s">
        <v>251</v>
      </c>
      <c r="H27" s="376">
        <v>5</v>
      </c>
      <c r="J27" s="339">
        <f>INDEX('Volume adjustments'!$J$527:$Y$567,J$17 + 1 + $H27*$H$28, J$15)</f>
        <v>0</v>
      </c>
      <c r="K27" s="339">
        <f>INDEX('Volume adjustments'!$J$527:$Y$567,K$17 + 1 + $H27*$H$28, K$15)</f>
        <v>0</v>
      </c>
      <c r="L27" s="339">
        <f>INDEX('Volume adjustments'!$J$527:$Y$567,L$17 + 1 + $H27*$H$28, L$15)</f>
        <v>0</v>
      </c>
      <c r="M27" s="339">
        <f>INDEX('Volume adjustments'!$J$527:$Y$567,M$17 + 1 + $H27*$H$28, M$15)</f>
        <v>0</v>
      </c>
      <c r="N27" s="339">
        <f>INDEX('Volume adjustments'!$J$527:$Y$567,N$17 + 1 + $H27*$H$28, N$15)</f>
        <v>0</v>
      </c>
      <c r="O27" s="339">
        <f>INDEX('Volume adjustments'!$J$527:$Y$567,O$17 + 1 + $H27*$H$28, O$15)</f>
        <v>0</v>
      </c>
      <c r="P27" s="339">
        <f>INDEX('Volume adjustments'!$J$527:$Y$567,P$17 + 1 + $H27*$H$28, P$15)</f>
        <v>0</v>
      </c>
      <c r="Q27" s="339">
        <f>INDEX('Volume adjustments'!$J$527:$Y$567,Q$17 + 1 + $H27*$H$28, Q$15)</f>
        <v>0</v>
      </c>
      <c r="R27" s="339">
        <f>INDEX('Volume adjustments'!$J$527:$Y$567,R$17 + 1 + $H27*$H$28, R$15)</f>
        <v>0</v>
      </c>
      <c r="S27" s="339">
        <f>INDEX('Volume adjustments'!$J$527:$Y$567,S$17 + 1 + $H27*$H$28, S$15)</f>
        <v>3635.7650764734904</v>
      </c>
      <c r="T27" s="339">
        <f>INDEX('Volume adjustments'!$J$527:$Y$567,T$17 + 1 + $H27*$H$28, T$15)</f>
        <v>3735.2434180355035</v>
      </c>
      <c r="U27" s="339">
        <f>INDEX('Volume adjustments'!$J$527:$Y$567,U$17 + 1 + $H27*$H$28, U$15)</f>
        <v>2824.2575139253381</v>
      </c>
      <c r="V27" s="339">
        <f>INDEX('Volume adjustments'!$J$527:$Y$567,V$17 + 1 + $H27*$H$28, V$15)</f>
        <v>7687.4317254549078</v>
      </c>
      <c r="W27" s="339">
        <f>INDEX('Volume adjustments'!$J$527:$Y$567,W$17 + 1 + $H27*$H$28, W$15)</f>
        <v>0</v>
      </c>
      <c r="X27" s="339">
        <f>INDEX('Volume adjustments'!$J$527:$Y$567,X$17 + 1 + $H27*$H$28, X$15)</f>
        <v>74.370999092084375</v>
      </c>
      <c r="Y27" s="339">
        <f>INDEX('Volume adjustments'!$J$527:$Y$567,Y$17 + 1 + $H27*$H$28, Y$15)</f>
        <v>45.616130846012524</v>
      </c>
      <c r="Z27" s="339">
        <f>INDEX('Volume adjustments'!$J$527:$Y$567,Z$17 + 1 + $H27*$H$28, Z$15)</f>
        <v>135.14383945082781</v>
      </c>
      <c r="AA27" s="339">
        <f>INDEX('Volume adjustments'!$J$527:$Y$567,AA$17 + 1 + $H27*$H$28, AA$15)</f>
        <v>1055.489216387334</v>
      </c>
      <c r="AB27" s="339">
        <f>INDEX('Volume adjustments'!$J$527:$Y$567,AB$17 + 1 + $H27*$H$28, AB$15)</f>
        <v>0</v>
      </c>
      <c r="AC27" s="339">
        <f>INDEX('Volume adjustments'!$J$527:$Y$567,AC$17 + 1 + $H27*$H$28, AC$15)</f>
        <v>958.76253773084238</v>
      </c>
      <c r="AD27" s="339">
        <f>INDEX('Volume adjustments'!$J$527:$Y$567,AD$17 + 1 + $H27*$H$28, AD$15)</f>
        <v>2665.892837206166</v>
      </c>
      <c r="AE27" s="339">
        <f>INDEX('Volume adjustments'!$J$527:$Y$567,AE$17 + 1 + $H27*$H$28, AE$15)</f>
        <v>2232.0719407678152</v>
      </c>
      <c r="AF27" s="339">
        <f>INDEX('Volume adjustments'!$J$527:$Y$567,AF$17 + 1 + $H27*$H$28, AF$15)</f>
        <v>4479.2726842951743</v>
      </c>
      <c r="AG27" s="339">
        <f>INDEX('Volume adjustments'!$J$527:$Y$567,AG$17 + 1 + $H27*$H$28, AG$15)</f>
        <v>0</v>
      </c>
      <c r="AH27" s="339">
        <f>INDEX('Volume adjustments'!$J$527:$Y$567,AH$17 + 1 + $H27*$H$28, AH$15)</f>
        <v>0</v>
      </c>
      <c r="AI27" s="339">
        <f>INDEX('Volume adjustments'!$J$527:$Y$567,AI$17 + 1 + $H27*$H$28, AI$15)</f>
        <v>0</v>
      </c>
      <c r="AJ27" s="339">
        <f>INDEX('Volume adjustments'!$J$527:$Y$567,AJ$17 + 1 + $H27*$H$28, AJ$15)</f>
        <v>0</v>
      </c>
      <c r="AK27" s="339">
        <f>INDEX('Volume adjustments'!$J$527:$Y$567,AK$17 + 1 + $H27*$H$28, AK$15)</f>
        <v>0</v>
      </c>
      <c r="AL27" s="339">
        <f>INDEX('Volume adjustments'!$J$527:$Y$567,AL$17 + 1 + $H27*$H$28, AL$15)</f>
        <v>0</v>
      </c>
      <c r="AM27" s="339">
        <f>INDEX('Volume adjustments'!$J$527:$Y$567,AM$17 + 1 + $H27*$H$28, AM$15)</f>
        <v>0</v>
      </c>
      <c r="AN27" s="339">
        <f>INDEX('Volume adjustments'!$J$527:$Y$567,AN$17 + 1 + $H27*$H$28, AN$15)</f>
        <v>0</v>
      </c>
      <c r="AO27" s="339">
        <f>INDEX('Volume adjustments'!$J$527:$Y$567,AO$17 + 1 + $H27*$H$28, AO$15)</f>
        <v>0</v>
      </c>
    </row>
    <row r="28" spans="1:43" x14ac:dyDescent="0.35">
      <c r="A28" s="320"/>
      <c r="E28" s="28"/>
      <c r="F28" s="80" t="s">
        <v>253</v>
      </c>
      <c r="G28" s="80" t="s">
        <v>254</v>
      </c>
      <c r="H28" s="326">
        <v>6</v>
      </c>
      <c r="I28" s="37"/>
      <c r="J28" s="195">
        <f>INDEX('Volume adjustments'!$J$527:$Y$567,J$17 + 1 + $H28*$H$28, J$15)</f>
        <v>0</v>
      </c>
      <c r="K28" s="195">
        <f>INDEX('Volume adjustments'!$J$527:$Y$567,K$17 + 1 + $H28*$H$28, K$15)</f>
        <v>0</v>
      </c>
      <c r="L28" s="195">
        <f>INDEX('Volume adjustments'!$J$527:$Y$567,L$17 + 1 + $H28*$H$28, L$15)</f>
        <v>0</v>
      </c>
      <c r="M28" s="195">
        <f>INDEX('Volume adjustments'!$J$527:$Y$567,M$17 + 1 + $H28*$H$28, M$15)</f>
        <v>0</v>
      </c>
      <c r="N28" s="195">
        <f>INDEX('Volume adjustments'!$J$527:$Y$567,N$17 + 1 + $H28*$H$28, N$15)</f>
        <v>0</v>
      </c>
      <c r="O28" s="195">
        <f>INDEX('Volume adjustments'!$J$527:$Y$567,O$17 + 1 + $H28*$H$28, O$15)</f>
        <v>0</v>
      </c>
      <c r="P28" s="195">
        <f>INDEX('Volume adjustments'!$J$527:$Y$567,P$17 + 1 + $H28*$H$28, P$15)</f>
        <v>0</v>
      </c>
      <c r="Q28" s="195">
        <f>INDEX('Volume adjustments'!$J$527:$Y$567,Q$17 + 1 + $H28*$H$28, Q$15)</f>
        <v>0</v>
      </c>
      <c r="R28" s="195">
        <f>INDEX('Volume adjustments'!$J$527:$Y$567,R$17 + 1 + $H28*$H$28, R$15)</f>
        <v>0</v>
      </c>
      <c r="S28" s="195">
        <f>INDEX('Volume adjustments'!$J$527:$Y$567,S$17 + 1 + $H28*$H$28, S$15)</f>
        <v>33391.216316336562</v>
      </c>
      <c r="T28" s="195">
        <f>INDEX('Volume adjustments'!$J$527:$Y$567,T$17 + 1 + $H28*$H$28, T$15)</f>
        <v>34304.834977614169</v>
      </c>
      <c r="U28" s="195">
        <f>INDEX('Volume adjustments'!$J$527:$Y$567,U$17 + 1 + $H28*$H$28, U$15)</f>
        <v>25938.252774018991</v>
      </c>
      <c r="V28" s="195">
        <f>INDEX('Volume adjustments'!$J$527:$Y$567,V$17 + 1 + $H28*$H$28, V$15)</f>
        <v>70602.112695001808</v>
      </c>
      <c r="W28" s="195">
        <f>INDEX('Volume adjustments'!$J$527:$Y$567,W$17 + 1 + $H28*$H$28, W$15)</f>
        <v>0</v>
      </c>
      <c r="X28" s="195">
        <f>INDEX('Volume adjustments'!$J$527:$Y$567,X$17 + 1 + $H28*$H$28, X$15)</f>
        <v>502.18789439440997</v>
      </c>
      <c r="Y28" s="195">
        <f>INDEX('Volume adjustments'!$J$527:$Y$567,Y$17 + 1 + $H28*$H$28, Y$15)</f>
        <v>308.02152693437603</v>
      </c>
      <c r="Z28" s="195">
        <f>INDEX('Volume adjustments'!$J$527:$Y$567,Z$17 + 1 + $H28*$H$28, Z$15)</f>
        <v>912.55463826908363</v>
      </c>
      <c r="AA28" s="195">
        <f>INDEX('Volume adjustments'!$J$527:$Y$567,AA$17 + 1 + $H28*$H$28, AA$15)</f>
        <v>7127.1586183380568</v>
      </c>
      <c r="AB28" s="195">
        <f>INDEX('Volume adjustments'!$J$527:$Y$567,AB$17 + 1 + $H28*$H$28, AB$15)</f>
        <v>0</v>
      </c>
      <c r="AC28" s="195">
        <f>INDEX('Volume adjustments'!$J$527:$Y$567,AC$17 + 1 + $H28*$H$28, AC$15)</f>
        <v>12541.854171679766</v>
      </c>
      <c r="AD28" s="195">
        <f>INDEX('Volume adjustments'!$J$527:$Y$567,AD$17 + 1 + $H28*$H$28, AD$15)</f>
        <v>34873.326695365504</v>
      </c>
      <c r="AE28" s="195">
        <f>INDEX('Volume adjustments'!$J$527:$Y$567,AE$17 + 1 + $H28*$H$28, AE$15)</f>
        <v>29198.388214107654</v>
      </c>
      <c r="AF28" s="195">
        <f>INDEX('Volume adjustments'!$J$527:$Y$567,AF$17 + 1 + $H28*$H$28, AF$15)</f>
        <v>58594.680737713454</v>
      </c>
      <c r="AG28" s="195">
        <f>INDEX('Volume adjustments'!$J$527:$Y$567,AG$17 + 1 + $H28*$H$28, AG$15)</f>
        <v>0</v>
      </c>
      <c r="AH28" s="195">
        <f>INDEX('Volume adjustments'!$J$527:$Y$567,AH$17 + 1 + $H28*$H$28, AH$15)</f>
        <v>0</v>
      </c>
      <c r="AI28" s="195">
        <f>INDEX('Volume adjustments'!$J$527:$Y$567,AI$17 + 1 + $H28*$H$28, AI$15)</f>
        <v>0</v>
      </c>
      <c r="AJ28" s="195">
        <f>INDEX('Volume adjustments'!$J$527:$Y$567,AJ$17 + 1 + $H28*$H$28, AJ$15)</f>
        <v>12161.310051003624</v>
      </c>
      <c r="AK28" s="195">
        <f>INDEX('Volume adjustments'!$J$527:$Y$567,AK$17 + 1 + $H28*$H$28, AK$15)</f>
        <v>0</v>
      </c>
      <c r="AL28" s="195">
        <f>INDEX('Volume adjustments'!$J$527:$Y$567,AL$17 + 1 + $H28*$H$28, AL$15)</f>
        <v>0</v>
      </c>
      <c r="AM28" s="195">
        <f>INDEX('Volume adjustments'!$J$527:$Y$567,AM$17 + 1 + $H28*$H$28, AM$15)</f>
        <v>0</v>
      </c>
      <c r="AN28" s="195">
        <f>INDEX('Volume adjustments'!$J$527:$Y$567,AN$17 + 1 + $H28*$H$28, AN$15)</f>
        <v>36125.02323166062</v>
      </c>
      <c r="AO28" s="195">
        <f>INDEX('Volume adjustments'!$J$527:$Y$567,AO$17 + 1 + $H28*$H$28, AO$15)</f>
        <v>0</v>
      </c>
    </row>
    <row r="29" spans="1:43" s="260" customFormat="1" x14ac:dyDescent="0.35">
      <c r="A29" s="377"/>
      <c r="E29" s="264"/>
      <c r="F29" s="235"/>
      <c r="G29" s="23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row>
    <row r="30" spans="1:43" x14ac:dyDescent="0.35">
      <c r="A30" s="320"/>
      <c r="E30" s="32" t="s">
        <v>255</v>
      </c>
      <c r="F30" s="352"/>
      <c r="G30" s="352"/>
      <c r="H30" s="311"/>
      <c r="I30" s="311" t="s">
        <v>154</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Q30" t="s">
        <v>246</v>
      </c>
    </row>
    <row r="31" spans="1:43" x14ac:dyDescent="0.35">
      <c r="A31" s="320"/>
      <c r="E31" s="32"/>
      <c r="F31" s="405" t="s">
        <v>1039</v>
      </c>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3" x14ac:dyDescent="0.35">
      <c r="A32" s="320"/>
      <c r="E32" s="32"/>
      <c r="F32" s="404" t="s">
        <v>1035</v>
      </c>
      <c r="G32" s="37"/>
    </row>
    <row r="33" spans="1:43" x14ac:dyDescent="0.35">
      <c r="A33" s="320"/>
      <c r="F33" s="72" t="s">
        <v>247</v>
      </c>
      <c r="G33" s="72" t="s">
        <v>207</v>
      </c>
      <c r="H33" s="325">
        <v>0</v>
      </c>
      <c r="I33" s="23"/>
      <c r="J33" s="193">
        <f>INDEX('Volume adjustments'!$J$571:$Y$611,J$17 + 1 + $H33*$H$39, J$15)</f>
        <v>1256.8602110655297</v>
      </c>
      <c r="K33" s="193">
        <f>INDEX('Volume adjustments'!$J$571:$Y$611,K$17 + 1 + $H33*$H$39, K$15)</f>
        <v>0</v>
      </c>
      <c r="L33" s="193">
        <f>INDEX('Volume adjustments'!$J$571:$Y$611,L$17 + 1 + $H33*$H$39, L$15)</f>
        <v>0</v>
      </c>
      <c r="M33" s="193">
        <f>INDEX('Volume adjustments'!$J$571:$Y$611,M$17 + 1 + $H33*$H$39, M$15)</f>
        <v>0.51035831735977999</v>
      </c>
      <c r="N33" s="193">
        <f>INDEX('Volume adjustments'!$J$571:$Y$611,N$17 + 1 + $H33*$H$39, N$15)</f>
        <v>2.4498207867287287</v>
      </c>
      <c r="O33" s="193">
        <f>INDEX('Volume adjustments'!$J$571:$Y$611,O$17 + 1 + $H33*$H$39, O$15)</f>
        <v>3.4133968215722494</v>
      </c>
      <c r="P33" s="193">
        <f>INDEX('Volume adjustments'!$J$571:$Y$611,P$17 + 1 + $H33*$H$39, P$15)</f>
        <v>9.0335722191863557</v>
      </c>
      <c r="Q33" s="193">
        <f>INDEX('Volume adjustments'!$J$571:$Y$611,Q$17 + 1 + $H33*$H$39, Q$15)</f>
        <v>0</v>
      </c>
      <c r="R33" s="193">
        <f>INDEX('Volume adjustments'!$J$571:$Y$611,R$17 + 1 + $H33*$H$39, R$15)</f>
        <v>0</v>
      </c>
      <c r="S33" s="193">
        <f>INDEX('Volume adjustments'!$J$571:$Y$611,S$17 + 1 + $H33*$H$39, S$15)</f>
        <v>44.577434832967171</v>
      </c>
      <c r="T33" s="193">
        <f>INDEX('Volume adjustments'!$J$571:$Y$611,T$17 + 1 + $H33*$H$39, T$15)</f>
        <v>45.797120152287505</v>
      </c>
      <c r="U33" s="193">
        <f>INDEX('Volume adjustments'!$J$571:$Y$611,U$17 + 1 + $H33*$H$39, U$15)</f>
        <v>34.627692557253873</v>
      </c>
      <c r="V33" s="193">
        <f>INDEX('Volume adjustments'!$J$571:$Y$611,V$17 + 1 + $H33*$H$39, V$15)</f>
        <v>94.254160972011633</v>
      </c>
      <c r="W33" s="193">
        <f>INDEX('Volume adjustments'!$J$571:$Y$611,W$17 + 1 + $H33*$H$39, W$15)</f>
        <v>0</v>
      </c>
      <c r="X33" s="193">
        <f>INDEX('Volume adjustments'!$J$571:$Y$611,X$17 + 1 + $H33*$H$39, X$15)</f>
        <v>0</v>
      </c>
      <c r="Y33" s="193">
        <f>INDEX('Volume adjustments'!$J$571:$Y$611,Y$17 + 1 + $H33*$H$39, Y$15)</f>
        <v>0</v>
      </c>
      <c r="Z33" s="193">
        <f>INDEX('Volume adjustments'!$J$571:$Y$611,Z$17 + 1 + $H33*$H$39, Z$15)</f>
        <v>0</v>
      </c>
      <c r="AA33" s="193">
        <f>INDEX('Volume adjustments'!$J$571:$Y$611,AA$17 + 1 + $H33*$H$39, AA$15)</f>
        <v>0</v>
      </c>
      <c r="AB33" s="193">
        <f>INDEX('Volume adjustments'!$J$571:$Y$611,AB$17 + 1 + $H33*$H$39, AB$15)</f>
        <v>0</v>
      </c>
      <c r="AC33" s="193">
        <f>INDEX('Volume adjustments'!$J$571:$Y$611,AC$17 + 1 + $H33*$H$39, AC$15)</f>
        <v>0</v>
      </c>
      <c r="AD33" s="193">
        <f>INDEX('Volume adjustments'!$J$571:$Y$611,AD$17 + 1 + $H33*$H$39, AD$15)</f>
        <v>0</v>
      </c>
      <c r="AE33" s="193">
        <f>INDEX('Volume adjustments'!$J$571:$Y$611,AE$17 + 1 + $H33*$H$39, AE$15)</f>
        <v>0</v>
      </c>
      <c r="AF33" s="193">
        <f>INDEX('Volume adjustments'!$J$571:$Y$611,AF$17 + 1 + $H33*$H$39, AF$15)</f>
        <v>0</v>
      </c>
      <c r="AG33" s="193">
        <f>INDEX('Volume adjustments'!$J$571:$Y$611,AG$17 + 1 + $H33*$H$39, AG$15)</f>
        <v>4.4156000000000057</v>
      </c>
      <c r="AH33" s="193">
        <f>INDEX('Volume adjustments'!$J$571:$Y$611,AH$17 + 1 + $H33*$H$39, AH$15)</f>
        <v>0</v>
      </c>
      <c r="AI33" s="193">
        <f>INDEX('Volume adjustments'!$J$571:$Y$611,AI$17 + 1 + $H33*$H$39, AI$15)</f>
        <v>0</v>
      </c>
      <c r="AJ33" s="193">
        <f>INDEX('Volume adjustments'!$J$571:$Y$611,AJ$17 + 1 + $H33*$H$39, AJ$15)</f>
        <v>0</v>
      </c>
      <c r="AK33" s="193">
        <f>INDEX('Volume adjustments'!$J$571:$Y$611,AK$17 + 1 + $H33*$H$39, AK$15)</f>
        <v>0</v>
      </c>
      <c r="AL33" s="193">
        <f>INDEX('Volume adjustments'!$J$571:$Y$611,AL$17 + 1 + $H33*$H$39, AL$15)</f>
        <v>0</v>
      </c>
      <c r="AM33" s="193">
        <f>INDEX('Volume adjustments'!$J$571:$Y$611,AM$17 + 1 + $H33*$H$39, AM$15)</f>
        <v>0</v>
      </c>
      <c r="AN33" s="193">
        <f>INDEX('Volume adjustments'!$J$571:$Y$611,AN$17 + 1 + $H33*$H$39, AN$15)</f>
        <v>0</v>
      </c>
      <c r="AO33" s="193">
        <f>INDEX('Volume adjustments'!$J$571:$Y$611,AO$17 + 1 + $H33*$H$39, AO$15)</f>
        <v>0</v>
      </c>
    </row>
    <row r="34" spans="1:43" x14ac:dyDescent="0.35">
      <c r="A34" s="320"/>
      <c r="E34" s="28"/>
      <c r="F34" s="72" t="s">
        <v>248</v>
      </c>
      <c r="G34" s="72" t="s">
        <v>207</v>
      </c>
      <c r="H34" s="376">
        <v>1</v>
      </c>
      <c r="J34" s="339">
        <f>INDEX('Volume adjustments'!$J$571:$Y$611,J$17 + 1 + $H34*$H$39, J$15)</f>
        <v>4351.0341653864743</v>
      </c>
      <c r="K34" s="339">
        <f>INDEX('Volume adjustments'!$J$571:$Y$611,K$17 + 1 + $H34*$H$39, K$15)</f>
        <v>0</v>
      </c>
      <c r="L34" s="339">
        <f>INDEX('Volume adjustments'!$J$571:$Y$611,L$17 + 1 + $H34*$H$39, L$15)</f>
        <v>0</v>
      </c>
      <c r="M34" s="339">
        <f>INDEX('Volume adjustments'!$J$571:$Y$611,M$17 + 1 + $H34*$H$39, M$15)</f>
        <v>2.9862856345890574</v>
      </c>
      <c r="N34" s="339">
        <f>INDEX('Volume adjustments'!$J$571:$Y$611,N$17 + 1 + $H34*$H$39, N$15)</f>
        <v>14.334761233191198</v>
      </c>
      <c r="O34" s="339">
        <f>INDEX('Volume adjustments'!$J$571:$Y$611,O$17 + 1 + $H34*$H$39, O$15)</f>
        <v>19.972982797941306</v>
      </c>
      <c r="P34" s="339">
        <f>INDEX('Volume adjustments'!$J$571:$Y$611,P$17 + 1 + $H34*$H$39, P$15)</f>
        <v>52.858601554173426</v>
      </c>
      <c r="Q34" s="339">
        <f>INDEX('Volume adjustments'!$J$571:$Y$611,Q$17 + 1 + $H34*$H$39, Q$15)</f>
        <v>0</v>
      </c>
      <c r="R34" s="339">
        <f>INDEX('Volume adjustments'!$J$571:$Y$611,R$17 + 1 + $H34*$H$39, R$15)</f>
        <v>0</v>
      </c>
      <c r="S34" s="339">
        <f>INDEX('Volume adjustments'!$J$571:$Y$611,S$17 + 1 + $H34*$H$39, S$15)</f>
        <v>248.48928471097409</v>
      </c>
      <c r="T34" s="339">
        <f>INDEX('Volume adjustments'!$J$571:$Y$611,T$17 + 1 + $H34*$H$39, T$15)</f>
        <v>255.28821187459465</v>
      </c>
      <c r="U34" s="339">
        <f>INDEX('Volume adjustments'!$J$571:$Y$611,U$17 + 1 + $H34*$H$39, U$15)</f>
        <v>193.02614847591028</v>
      </c>
      <c r="V34" s="339">
        <f>INDEX('Volume adjustments'!$J$571:$Y$611,V$17 + 1 + $H34*$H$39, V$15)</f>
        <v>525.40369648293677</v>
      </c>
      <c r="W34" s="339">
        <f>INDEX('Volume adjustments'!$J$571:$Y$611,W$17 + 1 + $H34*$H$39, W$15)</f>
        <v>0</v>
      </c>
      <c r="X34" s="339">
        <f>INDEX('Volume adjustments'!$J$571:$Y$611,X$17 + 1 + $H34*$H$39, X$15)</f>
        <v>0</v>
      </c>
      <c r="Y34" s="339">
        <f>INDEX('Volume adjustments'!$J$571:$Y$611,Y$17 + 1 + $H34*$H$39, Y$15)</f>
        <v>0</v>
      </c>
      <c r="Z34" s="339">
        <f>INDEX('Volume adjustments'!$J$571:$Y$611,Z$17 + 1 + $H34*$H$39, Z$15)</f>
        <v>0</v>
      </c>
      <c r="AA34" s="339">
        <f>INDEX('Volume adjustments'!$J$571:$Y$611,AA$17 + 1 + $H34*$H$39, AA$15)</f>
        <v>0</v>
      </c>
      <c r="AB34" s="339">
        <f>INDEX('Volume adjustments'!$J$571:$Y$611,AB$17 + 1 + $H34*$H$39, AB$15)</f>
        <v>0</v>
      </c>
      <c r="AC34" s="339">
        <f>INDEX('Volume adjustments'!$J$571:$Y$611,AC$17 + 1 + $H34*$H$39, AC$15)</f>
        <v>0</v>
      </c>
      <c r="AD34" s="339">
        <f>INDEX('Volume adjustments'!$J$571:$Y$611,AD$17 + 1 + $H34*$H$39, AD$15)</f>
        <v>0</v>
      </c>
      <c r="AE34" s="339">
        <f>INDEX('Volume adjustments'!$J$571:$Y$611,AE$17 + 1 + $H34*$H$39, AE$15)</f>
        <v>0</v>
      </c>
      <c r="AF34" s="339">
        <f>INDEX('Volume adjustments'!$J$571:$Y$611,AF$17 + 1 + $H34*$H$39, AF$15)</f>
        <v>0</v>
      </c>
      <c r="AG34" s="339">
        <f>INDEX('Volume adjustments'!$J$571:$Y$611,AG$17 + 1 + $H34*$H$39, AG$15)</f>
        <v>146.81940000000003</v>
      </c>
      <c r="AH34" s="339">
        <f>INDEX('Volume adjustments'!$J$571:$Y$611,AH$17 + 1 + $H34*$H$39, AH$15)</f>
        <v>0</v>
      </c>
      <c r="AI34" s="339">
        <f>INDEX('Volume adjustments'!$J$571:$Y$611,AI$17 + 1 + $H34*$H$39, AI$15)</f>
        <v>0</v>
      </c>
      <c r="AJ34" s="339">
        <f>INDEX('Volume adjustments'!$J$571:$Y$611,AJ$17 + 1 + $H34*$H$39, AJ$15)</f>
        <v>0</v>
      </c>
      <c r="AK34" s="339">
        <f>INDEX('Volume adjustments'!$J$571:$Y$611,AK$17 + 1 + $H34*$H$39, AK$15)</f>
        <v>0</v>
      </c>
      <c r="AL34" s="339">
        <f>INDEX('Volume adjustments'!$J$571:$Y$611,AL$17 + 1 + $H34*$H$39, AL$15)</f>
        <v>0</v>
      </c>
      <c r="AM34" s="339">
        <f>INDEX('Volume adjustments'!$J$571:$Y$611,AM$17 + 1 + $H34*$H$39, AM$15)</f>
        <v>0</v>
      </c>
      <c r="AN34" s="339">
        <f>INDEX('Volume adjustments'!$J$571:$Y$611,AN$17 + 1 + $H34*$H$39, AN$15)</f>
        <v>0</v>
      </c>
      <c r="AO34" s="339">
        <f>INDEX('Volume adjustments'!$J$571:$Y$611,AO$17 + 1 + $H34*$H$39, AO$15)</f>
        <v>0</v>
      </c>
    </row>
    <row r="35" spans="1:43" x14ac:dyDescent="0.35">
      <c r="A35" s="320"/>
      <c r="E35" s="28"/>
      <c r="F35" s="72" t="s">
        <v>249</v>
      </c>
      <c r="G35" s="72" t="s">
        <v>207</v>
      </c>
      <c r="H35" s="376">
        <v>2</v>
      </c>
      <c r="J35" s="339">
        <f>INDEX('Volume adjustments'!$J$571:$Y$611,J$17 + 1 + $H35*$H$39, J$15)</f>
        <v>3226.095715157287</v>
      </c>
      <c r="K35" s="339">
        <f>INDEX('Volume adjustments'!$J$571:$Y$611,K$17 + 1 + $H35*$H$39, K$15)</f>
        <v>0</v>
      </c>
      <c r="L35" s="339">
        <f>INDEX('Volume adjustments'!$J$571:$Y$611,L$17 + 1 + $H35*$H$39, L$15)</f>
        <v>0</v>
      </c>
      <c r="M35" s="339">
        <f>INDEX('Volume adjustments'!$J$571:$Y$611,M$17 + 1 + $H35*$H$39, M$15)</f>
        <v>1.5205414991995714</v>
      </c>
      <c r="N35" s="339">
        <f>INDEX('Volume adjustments'!$J$571:$Y$611,N$17 + 1 + $H35*$H$39, N$15)</f>
        <v>7.29889970461043</v>
      </c>
      <c r="O35" s="339">
        <f>INDEX('Volume adjustments'!$J$571:$Y$611,O$17 + 1 + $H35*$H$39, O$15)</f>
        <v>10.169740246983475</v>
      </c>
      <c r="P35" s="339">
        <f>INDEX('Volume adjustments'!$J$571:$Y$611,P$17 + 1 + $H35*$H$39, P$15)</f>
        <v>26.914269794502051</v>
      </c>
      <c r="Q35" s="339">
        <f>INDEX('Volume adjustments'!$J$571:$Y$611,Q$17 + 1 + $H35*$H$39, Q$15)</f>
        <v>0</v>
      </c>
      <c r="R35" s="339">
        <f>INDEX('Volume adjustments'!$J$571:$Y$611,R$17 + 1 + $H35*$H$39, R$15)</f>
        <v>0</v>
      </c>
      <c r="S35" s="339">
        <f>INDEX('Volume adjustments'!$J$571:$Y$611,S$17 + 1 + $H35*$H$39, S$15)</f>
        <v>122.73728250359953</v>
      </c>
      <c r="T35" s="339">
        <f>INDEX('Volume adjustments'!$J$571:$Y$611,T$17 + 1 + $H35*$H$39, T$15)</f>
        <v>126.09550314065156</v>
      </c>
      <c r="U35" s="339">
        <f>INDEX('Volume adjustments'!$J$571:$Y$611,U$17 + 1 + $H35*$H$39, U$15)</f>
        <v>95.342159094006419</v>
      </c>
      <c r="V35" s="339">
        <f>INDEX('Volume adjustments'!$J$571:$Y$611,V$17 + 1 + $H35*$H$39, V$15)</f>
        <v>259.51469898860285</v>
      </c>
      <c r="W35" s="339">
        <f>INDEX('Volume adjustments'!$J$571:$Y$611,W$17 + 1 + $H35*$H$39, W$15)</f>
        <v>0</v>
      </c>
      <c r="X35" s="339">
        <f>INDEX('Volume adjustments'!$J$571:$Y$611,X$17 + 1 + $H35*$H$39, X$15)</f>
        <v>0</v>
      </c>
      <c r="Y35" s="339">
        <f>INDEX('Volume adjustments'!$J$571:$Y$611,Y$17 + 1 + $H35*$H$39, Y$15)</f>
        <v>0</v>
      </c>
      <c r="Z35" s="339">
        <f>INDEX('Volume adjustments'!$J$571:$Y$611,Z$17 + 1 + $H35*$H$39, Z$15)</f>
        <v>0</v>
      </c>
      <c r="AA35" s="339">
        <f>INDEX('Volume adjustments'!$J$571:$Y$611,AA$17 + 1 + $H35*$H$39, AA$15)</f>
        <v>0</v>
      </c>
      <c r="AB35" s="339">
        <f>INDEX('Volume adjustments'!$J$571:$Y$611,AB$17 + 1 + $H35*$H$39, AB$15)</f>
        <v>0</v>
      </c>
      <c r="AC35" s="339">
        <f>INDEX('Volume adjustments'!$J$571:$Y$611,AC$17 + 1 + $H35*$H$39, AC$15)</f>
        <v>0</v>
      </c>
      <c r="AD35" s="339">
        <f>INDEX('Volume adjustments'!$J$571:$Y$611,AD$17 + 1 + $H35*$H$39, AD$15)</f>
        <v>0</v>
      </c>
      <c r="AE35" s="339">
        <f>INDEX('Volume adjustments'!$J$571:$Y$611,AE$17 + 1 + $H35*$H$39, AE$15)</f>
        <v>0</v>
      </c>
      <c r="AF35" s="339">
        <f>INDEX('Volume adjustments'!$J$571:$Y$611,AF$17 + 1 + $H35*$H$39, AF$15)</f>
        <v>0</v>
      </c>
      <c r="AG35" s="339">
        <f>INDEX('Volume adjustments'!$J$571:$Y$611,AG$17 + 1 + $H35*$H$39, AG$15)</f>
        <v>49.511599999999994</v>
      </c>
      <c r="AH35" s="339">
        <f>INDEX('Volume adjustments'!$J$571:$Y$611,AH$17 + 1 + $H35*$H$39, AH$15)</f>
        <v>0</v>
      </c>
      <c r="AI35" s="339">
        <f>INDEX('Volume adjustments'!$J$571:$Y$611,AI$17 + 1 + $H35*$H$39, AI$15)</f>
        <v>0</v>
      </c>
      <c r="AJ35" s="339">
        <f>INDEX('Volume adjustments'!$J$571:$Y$611,AJ$17 + 1 + $H35*$H$39, AJ$15)</f>
        <v>0</v>
      </c>
      <c r="AK35" s="339">
        <f>INDEX('Volume adjustments'!$J$571:$Y$611,AK$17 + 1 + $H35*$H$39, AK$15)</f>
        <v>0</v>
      </c>
      <c r="AL35" s="339">
        <f>INDEX('Volume adjustments'!$J$571:$Y$611,AL$17 + 1 + $H35*$H$39, AL$15)</f>
        <v>0</v>
      </c>
      <c r="AM35" s="339">
        <f>INDEX('Volume adjustments'!$J$571:$Y$611,AM$17 + 1 + $H35*$H$39, AM$15)</f>
        <v>0</v>
      </c>
      <c r="AN35" s="339">
        <f>INDEX('Volume adjustments'!$J$571:$Y$611,AN$17 + 1 + $H35*$H$39, AN$15)</f>
        <v>0</v>
      </c>
      <c r="AO35" s="339">
        <f>INDEX('Volume adjustments'!$J$571:$Y$611,AO$17 + 1 + $H35*$H$39, AO$15)</f>
        <v>0</v>
      </c>
    </row>
    <row r="36" spans="1:43" x14ac:dyDescent="0.35">
      <c r="A36" s="320"/>
      <c r="E36" s="28"/>
      <c r="F36" s="72" t="s">
        <v>212</v>
      </c>
      <c r="G36" s="72" t="s">
        <v>212</v>
      </c>
      <c r="H36" s="376">
        <v>3</v>
      </c>
      <c r="J36" s="339">
        <f>INDEX('Volume adjustments'!$J$571:$Y$611,J$17 + 1 + $H36*$H$39, J$15)</f>
        <v>3073.516129032258</v>
      </c>
      <c r="K36" s="339">
        <f>INDEX('Volume adjustments'!$J$571:$Y$611,K$17 + 1 + $H36*$H$39, K$15)</f>
        <v>0</v>
      </c>
      <c r="L36" s="339">
        <f>INDEX('Volume adjustments'!$J$571:$Y$611,L$17 + 1 + $H36*$H$39, L$15)</f>
        <v>0</v>
      </c>
      <c r="M36" s="339">
        <f>INDEX('Volume adjustments'!$J$571:$Y$611,M$17 + 1 + $H36*$H$39, M$15)</f>
        <v>6.3790580040319442</v>
      </c>
      <c r="N36" s="339">
        <f>INDEX('Volume adjustments'!$J$571:$Y$611,N$17 + 1 + $H36*$H$39, N$15)</f>
        <v>5.1746259801678187</v>
      </c>
      <c r="O36" s="339">
        <f>INDEX('Volume adjustments'!$J$571:$Y$611,O$17 + 1 + $H36*$H$39, O$15)</f>
        <v>2.9217900304581077</v>
      </c>
      <c r="P36" s="339">
        <f>INDEX('Volume adjustments'!$J$571:$Y$611,P$17 + 1 + $H36*$H$39, P$15)</f>
        <v>2.3632356627614848</v>
      </c>
      <c r="Q36" s="339">
        <f>INDEX('Volume adjustments'!$J$571:$Y$611,Q$17 + 1 + $H36*$H$39, Q$15)</f>
        <v>0</v>
      </c>
      <c r="R36" s="339">
        <f>INDEX('Volume adjustments'!$J$571:$Y$611,R$17 + 1 + $H36*$H$39, R$15)</f>
        <v>0</v>
      </c>
      <c r="S36" s="339">
        <f>INDEX('Volume adjustments'!$J$571:$Y$611,S$17 + 1 + $H36*$H$39, S$15)</f>
        <v>4.7852380213986665</v>
      </c>
      <c r="T36" s="339">
        <f>INDEX('Volume adjustments'!$J$571:$Y$611,T$17 + 1 + $H36*$H$39, T$15)</f>
        <v>2.5755931152116607</v>
      </c>
      <c r="U36" s="339">
        <f>INDEX('Volume adjustments'!$J$571:$Y$611,U$17 + 1 + $H36*$H$39, U$15)</f>
        <v>1.1846797953171033</v>
      </c>
      <c r="V36" s="339">
        <f>INDEX('Volume adjustments'!$J$571:$Y$611,V$17 + 1 + $H36*$H$39, V$15)</f>
        <v>1.4544890680725695</v>
      </c>
      <c r="W36" s="339">
        <f>INDEX('Volume adjustments'!$J$571:$Y$611,W$17 + 1 + $H36*$H$39, W$15)</f>
        <v>0</v>
      </c>
      <c r="X36" s="339">
        <f>INDEX('Volume adjustments'!$J$571:$Y$611,X$17 + 1 + $H36*$H$39, X$15)</f>
        <v>0</v>
      </c>
      <c r="Y36" s="339">
        <f>INDEX('Volume adjustments'!$J$571:$Y$611,Y$17 + 1 + $H36*$H$39, Y$15)</f>
        <v>0</v>
      </c>
      <c r="Z36" s="339">
        <f>INDEX('Volume adjustments'!$J$571:$Y$611,Z$17 + 1 + $H36*$H$39, Z$15)</f>
        <v>0</v>
      </c>
      <c r="AA36" s="339">
        <f>INDEX('Volume adjustments'!$J$571:$Y$611,AA$17 + 1 + $H36*$H$39, AA$15)</f>
        <v>0</v>
      </c>
      <c r="AB36" s="339">
        <f>INDEX('Volume adjustments'!$J$571:$Y$611,AB$17 + 1 + $H36*$H$39, AB$15)</f>
        <v>0</v>
      </c>
      <c r="AC36" s="339">
        <f>INDEX('Volume adjustments'!$J$571:$Y$611,AC$17 + 1 + $H36*$H$39, AC$15)</f>
        <v>0</v>
      </c>
      <c r="AD36" s="339">
        <f>INDEX('Volume adjustments'!$J$571:$Y$611,AD$17 + 1 + $H36*$H$39, AD$15)</f>
        <v>0</v>
      </c>
      <c r="AE36" s="339">
        <f>INDEX('Volume adjustments'!$J$571:$Y$611,AE$17 + 1 + $H36*$H$39, AE$15)</f>
        <v>0</v>
      </c>
      <c r="AF36" s="339">
        <f>INDEX('Volume adjustments'!$J$571:$Y$611,AF$17 + 1 + $H36*$H$39, AF$15)</f>
        <v>0</v>
      </c>
      <c r="AG36" s="339">
        <f>INDEX('Volume adjustments'!$J$571:$Y$611,AG$17 + 1 + $H36*$H$39, AG$15)</f>
        <v>2</v>
      </c>
      <c r="AH36" s="339">
        <f>INDEX('Volume adjustments'!$J$571:$Y$611,AH$17 + 1 + $H36*$H$39, AH$15)</f>
        <v>0</v>
      </c>
      <c r="AI36" s="339">
        <f>INDEX('Volume adjustments'!$J$571:$Y$611,AI$17 + 1 + $H36*$H$39, AI$15)</f>
        <v>0</v>
      </c>
      <c r="AJ36" s="339">
        <f>INDEX('Volume adjustments'!$J$571:$Y$611,AJ$17 + 1 + $H36*$H$39, AJ$15)</f>
        <v>0</v>
      </c>
      <c r="AK36" s="339">
        <f>INDEX('Volume adjustments'!$J$571:$Y$611,AK$17 + 1 + $H36*$H$39, AK$15)</f>
        <v>0</v>
      </c>
      <c r="AL36" s="339">
        <f>INDEX('Volume adjustments'!$J$571:$Y$611,AL$17 + 1 + $H36*$H$39, AL$15)</f>
        <v>0</v>
      </c>
      <c r="AM36" s="339">
        <f>INDEX('Volume adjustments'!$J$571:$Y$611,AM$17 + 1 + $H36*$H$39, AM$15)</f>
        <v>0</v>
      </c>
      <c r="AN36" s="339">
        <f>INDEX('Volume adjustments'!$J$571:$Y$611,AN$17 + 1 + $H36*$H$39, AN$15)</f>
        <v>0</v>
      </c>
      <c r="AO36" s="339">
        <f>INDEX('Volume adjustments'!$J$571:$Y$611,AO$17 + 1 + $H36*$H$39, AO$15)</f>
        <v>0</v>
      </c>
    </row>
    <row r="37" spans="1:43" x14ac:dyDescent="0.35">
      <c r="A37" s="320"/>
      <c r="E37" s="28"/>
      <c r="F37" s="72" t="s">
        <v>250</v>
      </c>
      <c r="G37" s="72" t="s">
        <v>251</v>
      </c>
      <c r="H37" s="376">
        <v>4</v>
      </c>
      <c r="J37" s="339">
        <f>INDEX('Volume adjustments'!$J$571:$Y$611,J$17 + 1 + $H37*$H$39, J$15)</f>
        <v>0</v>
      </c>
      <c r="K37" s="339">
        <f>INDEX('Volume adjustments'!$J$571:$Y$611,K$17 + 1 + $H37*$H$39, K$15)</f>
        <v>0</v>
      </c>
      <c r="L37" s="339">
        <f>INDEX('Volume adjustments'!$J$571:$Y$611,L$17 + 1 + $H37*$H$39, L$15)</f>
        <v>0</v>
      </c>
      <c r="M37" s="339">
        <f>INDEX('Volume adjustments'!$J$571:$Y$611,M$17 + 1 + $H37*$H$39, M$15)</f>
        <v>0</v>
      </c>
      <c r="N37" s="339">
        <f>INDEX('Volume adjustments'!$J$571:$Y$611,N$17 + 1 + $H37*$H$39, N$15)</f>
        <v>0</v>
      </c>
      <c r="O37" s="339">
        <f>INDEX('Volume adjustments'!$J$571:$Y$611,O$17 + 1 + $H37*$H$39, O$15)</f>
        <v>0</v>
      </c>
      <c r="P37" s="339">
        <f>INDEX('Volume adjustments'!$J$571:$Y$611,P$17 + 1 + $H37*$H$39, P$15)</f>
        <v>0</v>
      </c>
      <c r="Q37" s="339">
        <f>INDEX('Volume adjustments'!$J$571:$Y$611,Q$17 + 1 + $H37*$H$39, Q$15)</f>
        <v>0</v>
      </c>
      <c r="R37" s="339">
        <f>INDEX('Volume adjustments'!$J$571:$Y$611,R$17 + 1 + $H37*$H$39, R$15)</f>
        <v>0</v>
      </c>
      <c r="S37" s="339">
        <f>INDEX('Volume adjustments'!$J$571:$Y$611,S$17 + 1 + $H37*$H$39, S$15)</f>
        <v>447.28615823346883</v>
      </c>
      <c r="T37" s="339">
        <f>INDEX('Volume adjustments'!$J$571:$Y$611,T$17 + 1 + $H37*$H$39, T$15)</f>
        <v>459.52437612951286</v>
      </c>
      <c r="U37" s="339">
        <f>INDEX('Volume adjustments'!$J$571:$Y$611,U$17 + 1 + $H37*$H$39, U$15)</f>
        <v>347.4512975109389</v>
      </c>
      <c r="V37" s="339">
        <f>INDEX('Volume adjustments'!$J$571:$Y$611,V$17 + 1 + $H37*$H$39, V$15)</f>
        <v>945.73816812607902</v>
      </c>
      <c r="W37" s="339">
        <f>INDEX('Volume adjustments'!$J$571:$Y$611,W$17 + 1 + $H37*$H$39, W$15)</f>
        <v>0</v>
      </c>
      <c r="X37" s="339">
        <f>INDEX('Volume adjustments'!$J$571:$Y$611,X$17 + 1 + $H37*$H$39, X$15)</f>
        <v>0</v>
      </c>
      <c r="Y37" s="339">
        <f>INDEX('Volume adjustments'!$J$571:$Y$611,Y$17 + 1 + $H37*$H$39, Y$15)</f>
        <v>0</v>
      </c>
      <c r="Z37" s="339">
        <f>INDEX('Volume adjustments'!$J$571:$Y$611,Z$17 + 1 + $H37*$H$39, Z$15)</f>
        <v>0</v>
      </c>
      <c r="AA37" s="339">
        <f>INDEX('Volume adjustments'!$J$571:$Y$611,AA$17 + 1 + $H37*$H$39, AA$15)</f>
        <v>0</v>
      </c>
      <c r="AB37" s="339">
        <f>INDEX('Volume adjustments'!$J$571:$Y$611,AB$17 + 1 + $H37*$H$39, AB$15)</f>
        <v>0</v>
      </c>
      <c r="AC37" s="339">
        <f>INDEX('Volume adjustments'!$J$571:$Y$611,AC$17 + 1 + $H37*$H$39, AC$15)</f>
        <v>0</v>
      </c>
      <c r="AD37" s="339">
        <f>INDEX('Volume adjustments'!$J$571:$Y$611,AD$17 + 1 + $H37*$H$39, AD$15)</f>
        <v>0</v>
      </c>
      <c r="AE37" s="339">
        <f>INDEX('Volume adjustments'!$J$571:$Y$611,AE$17 + 1 + $H37*$H$39, AE$15)</f>
        <v>0</v>
      </c>
      <c r="AF37" s="339">
        <f>INDEX('Volume adjustments'!$J$571:$Y$611,AF$17 + 1 + $H37*$H$39, AF$15)</f>
        <v>0</v>
      </c>
      <c r="AG37" s="339">
        <f>INDEX('Volume adjustments'!$J$571:$Y$611,AG$17 + 1 + $H37*$H$39, AG$15)</f>
        <v>0</v>
      </c>
      <c r="AH37" s="339">
        <f>INDEX('Volume adjustments'!$J$571:$Y$611,AH$17 + 1 + $H37*$H$39, AH$15)</f>
        <v>0</v>
      </c>
      <c r="AI37" s="339">
        <f>INDEX('Volume adjustments'!$J$571:$Y$611,AI$17 + 1 + $H37*$H$39, AI$15)</f>
        <v>0</v>
      </c>
      <c r="AJ37" s="339">
        <f>INDEX('Volume adjustments'!$J$571:$Y$611,AJ$17 + 1 + $H37*$H$39, AJ$15)</f>
        <v>0</v>
      </c>
      <c r="AK37" s="339">
        <f>INDEX('Volume adjustments'!$J$571:$Y$611,AK$17 + 1 + $H37*$H$39, AK$15)</f>
        <v>0</v>
      </c>
      <c r="AL37" s="339">
        <f>INDEX('Volume adjustments'!$J$571:$Y$611,AL$17 + 1 + $H37*$H$39, AL$15)</f>
        <v>0</v>
      </c>
      <c r="AM37" s="339">
        <f>INDEX('Volume adjustments'!$J$571:$Y$611,AM$17 + 1 + $H37*$H$39, AM$15)</f>
        <v>0</v>
      </c>
      <c r="AN37" s="339">
        <f>INDEX('Volume adjustments'!$J$571:$Y$611,AN$17 + 1 + $H37*$H$39, AN$15)</f>
        <v>0</v>
      </c>
      <c r="AO37" s="339">
        <f>INDEX('Volume adjustments'!$J$571:$Y$611,AO$17 + 1 + $H37*$H$39, AO$15)</f>
        <v>0</v>
      </c>
    </row>
    <row r="38" spans="1:43" x14ac:dyDescent="0.35">
      <c r="A38" s="320"/>
      <c r="E38" s="28"/>
      <c r="F38" s="72" t="s">
        <v>252</v>
      </c>
      <c r="G38" s="72" t="s">
        <v>251</v>
      </c>
      <c r="H38" s="376">
        <v>5</v>
      </c>
      <c r="J38" s="339">
        <f>INDEX('Volume adjustments'!$J$571:$Y$611,J$17 + 1 + $H38*$H$39, J$15)</f>
        <v>0</v>
      </c>
      <c r="K38" s="339">
        <f>INDEX('Volume adjustments'!$J$571:$Y$611,K$17 + 1 + $H38*$H$39, K$15)</f>
        <v>0</v>
      </c>
      <c r="L38" s="339">
        <f>INDEX('Volume adjustments'!$J$571:$Y$611,L$17 + 1 + $H38*$H$39, L$15)</f>
        <v>0</v>
      </c>
      <c r="M38" s="339">
        <f>INDEX('Volume adjustments'!$J$571:$Y$611,M$17 + 1 + $H38*$H$39, M$15)</f>
        <v>0</v>
      </c>
      <c r="N38" s="339">
        <f>INDEX('Volume adjustments'!$J$571:$Y$611,N$17 + 1 + $H38*$H$39, N$15)</f>
        <v>0</v>
      </c>
      <c r="O38" s="339">
        <f>INDEX('Volume adjustments'!$J$571:$Y$611,O$17 + 1 + $H38*$H$39, O$15)</f>
        <v>0</v>
      </c>
      <c r="P38" s="339">
        <f>INDEX('Volume adjustments'!$J$571:$Y$611,P$17 + 1 + $H38*$H$39, P$15)</f>
        <v>0</v>
      </c>
      <c r="Q38" s="339">
        <f>INDEX('Volume adjustments'!$J$571:$Y$611,Q$17 + 1 + $H38*$H$39, Q$15)</f>
        <v>0</v>
      </c>
      <c r="R38" s="339">
        <f>INDEX('Volume adjustments'!$J$571:$Y$611,R$17 + 1 + $H38*$H$39, R$15)</f>
        <v>0</v>
      </c>
      <c r="S38" s="339">
        <f>INDEX('Volume adjustments'!$J$571:$Y$611,S$17 + 1 + $H38*$H$39, S$15)</f>
        <v>0</v>
      </c>
      <c r="T38" s="339">
        <f>INDEX('Volume adjustments'!$J$571:$Y$611,T$17 + 1 + $H38*$H$39, T$15)</f>
        <v>0</v>
      </c>
      <c r="U38" s="339">
        <f>INDEX('Volume adjustments'!$J$571:$Y$611,U$17 + 1 + $H38*$H$39, U$15)</f>
        <v>0</v>
      </c>
      <c r="V38" s="339">
        <f>INDEX('Volume adjustments'!$J$571:$Y$611,V$17 + 1 + $H38*$H$39, V$15)</f>
        <v>0</v>
      </c>
      <c r="W38" s="339">
        <f>INDEX('Volume adjustments'!$J$571:$Y$611,W$17 + 1 + $H38*$H$39, W$15)</f>
        <v>0</v>
      </c>
      <c r="X38" s="339">
        <f>INDEX('Volume adjustments'!$J$571:$Y$611,X$17 + 1 + $H38*$H$39, X$15)</f>
        <v>0</v>
      </c>
      <c r="Y38" s="339">
        <f>INDEX('Volume adjustments'!$J$571:$Y$611,Y$17 + 1 + $H38*$H$39, Y$15)</f>
        <v>0</v>
      </c>
      <c r="Z38" s="339">
        <f>INDEX('Volume adjustments'!$J$571:$Y$611,Z$17 + 1 + $H38*$H$39, Z$15)</f>
        <v>0</v>
      </c>
      <c r="AA38" s="339">
        <f>INDEX('Volume adjustments'!$J$571:$Y$611,AA$17 + 1 + $H38*$H$39, AA$15)</f>
        <v>0</v>
      </c>
      <c r="AB38" s="339">
        <f>INDEX('Volume adjustments'!$J$571:$Y$611,AB$17 + 1 + $H38*$H$39, AB$15)</f>
        <v>0</v>
      </c>
      <c r="AC38" s="339">
        <f>INDEX('Volume adjustments'!$J$571:$Y$611,AC$17 + 1 + $H38*$H$39, AC$15)</f>
        <v>0</v>
      </c>
      <c r="AD38" s="339">
        <f>INDEX('Volume adjustments'!$J$571:$Y$611,AD$17 + 1 + $H38*$H$39, AD$15)</f>
        <v>0</v>
      </c>
      <c r="AE38" s="339">
        <f>INDEX('Volume adjustments'!$J$571:$Y$611,AE$17 + 1 + $H38*$H$39, AE$15)</f>
        <v>0</v>
      </c>
      <c r="AF38" s="339">
        <f>INDEX('Volume adjustments'!$J$571:$Y$611,AF$17 + 1 + $H38*$H$39, AF$15)</f>
        <v>0</v>
      </c>
      <c r="AG38" s="339">
        <f>INDEX('Volume adjustments'!$J$571:$Y$611,AG$17 + 1 + $H38*$H$39, AG$15)</f>
        <v>0</v>
      </c>
      <c r="AH38" s="339">
        <f>INDEX('Volume adjustments'!$J$571:$Y$611,AH$17 + 1 + $H38*$H$39, AH$15)</f>
        <v>0</v>
      </c>
      <c r="AI38" s="339">
        <f>INDEX('Volume adjustments'!$J$571:$Y$611,AI$17 + 1 + $H38*$H$39, AI$15)</f>
        <v>0</v>
      </c>
      <c r="AJ38" s="339">
        <f>INDEX('Volume adjustments'!$J$571:$Y$611,AJ$17 + 1 + $H38*$H$39, AJ$15)</f>
        <v>0</v>
      </c>
      <c r="AK38" s="339">
        <f>INDEX('Volume adjustments'!$J$571:$Y$611,AK$17 + 1 + $H38*$H$39, AK$15)</f>
        <v>0</v>
      </c>
      <c r="AL38" s="339">
        <f>INDEX('Volume adjustments'!$J$571:$Y$611,AL$17 + 1 + $H38*$H$39, AL$15)</f>
        <v>0</v>
      </c>
      <c r="AM38" s="339">
        <f>INDEX('Volume adjustments'!$J$571:$Y$611,AM$17 + 1 + $H38*$H$39, AM$15)</f>
        <v>0</v>
      </c>
      <c r="AN38" s="339">
        <f>INDEX('Volume adjustments'!$J$571:$Y$611,AN$17 + 1 + $H38*$H$39, AN$15)</f>
        <v>0</v>
      </c>
      <c r="AO38" s="339">
        <f>INDEX('Volume adjustments'!$J$571:$Y$611,AO$17 + 1 + $H38*$H$39, AO$15)</f>
        <v>0</v>
      </c>
    </row>
    <row r="39" spans="1:43" x14ac:dyDescent="0.35">
      <c r="A39" s="320"/>
      <c r="E39" s="28"/>
      <c r="F39" s="80" t="s">
        <v>253</v>
      </c>
      <c r="G39" s="80" t="s">
        <v>254</v>
      </c>
      <c r="H39" s="326">
        <v>6</v>
      </c>
      <c r="I39" s="37"/>
      <c r="J39" s="195">
        <f>INDEX('Volume adjustments'!$J$571:$Y$611,J$17 + 1 + $H39*$H$39, J$15)</f>
        <v>0</v>
      </c>
      <c r="K39" s="195">
        <f>INDEX('Volume adjustments'!$J$571:$Y$611,K$17 + 1 + $H39*$H$39, K$15)</f>
        <v>0</v>
      </c>
      <c r="L39" s="195">
        <f>INDEX('Volume adjustments'!$J$571:$Y$611,L$17 + 1 + $H39*$H$39, L$15)</f>
        <v>0</v>
      </c>
      <c r="M39" s="195">
        <f>INDEX('Volume adjustments'!$J$571:$Y$611,M$17 + 1 + $H39*$H$39, M$15)</f>
        <v>0</v>
      </c>
      <c r="N39" s="195">
        <f>INDEX('Volume adjustments'!$J$571:$Y$611,N$17 + 1 + $H39*$H$39, N$15)</f>
        <v>0</v>
      </c>
      <c r="O39" s="195">
        <f>INDEX('Volume adjustments'!$J$571:$Y$611,O$17 + 1 + $H39*$H$39, O$15)</f>
        <v>0</v>
      </c>
      <c r="P39" s="195">
        <f>INDEX('Volume adjustments'!$J$571:$Y$611,P$17 + 1 + $H39*$H$39, P$15)</f>
        <v>0</v>
      </c>
      <c r="Q39" s="195">
        <f>INDEX('Volume adjustments'!$J$571:$Y$611,Q$17 + 1 + $H39*$H$39, Q$15)</f>
        <v>0</v>
      </c>
      <c r="R39" s="195">
        <f>INDEX('Volume adjustments'!$J$571:$Y$611,R$17 + 1 + $H39*$H$39, R$15)</f>
        <v>0</v>
      </c>
      <c r="S39" s="195">
        <f>INDEX('Volume adjustments'!$J$571:$Y$611,S$17 + 1 + $H39*$H$39, S$15)</f>
        <v>20.740566745371542</v>
      </c>
      <c r="T39" s="195">
        <f>INDEX('Volume adjustments'!$J$571:$Y$611,T$17 + 1 + $H39*$H$39, T$15)</f>
        <v>21.308050380724307</v>
      </c>
      <c r="U39" s="195">
        <f>INDEX('Volume adjustments'!$J$571:$Y$611,U$17 + 1 + $H39*$H$39, U$15)</f>
        <v>16.111244880129064</v>
      </c>
      <c r="V39" s="195">
        <f>INDEX('Volume adjustments'!$J$571:$Y$611,V$17 + 1 + $H39*$H$39, V$15)</f>
        <v>43.853683461015763</v>
      </c>
      <c r="W39" s="195">
        <f>INDEX('Volume adjustments'!$J$571:$Y$611,W$17 + 1 + $H39*$H$39, W$15)</f>
        <v>0</v>
      </c>
      <c r="X39" s="195">
        <f>INDEX('Volume adjustments'!$J$571:$Y$611,X$17 + 1 + $H39*$H$39, X$15)</f>
        <v>0</v>
      </c>
      <c r="Y39" s="195">
        <f>INDEX('Volume adjustments'!$J$571:$Y$611,Y$17 + 1 + $H39*$H$39, Y$15)</f>
        <v>0</v>
      </c>
      <c r="Z39" s="195">
        <f>INDEX('Volume adjustments'!$J$571:$Y$611,Z$17 + 1 + $H39*$H$39, Z$15)</f>
        <v>0</v>
      </c>
      <c r="AA39" s="195">
        <f>INDEX('Volume adjustments'!$J$571:$Y$611,AA$17 + 1 + $H39*$H$39, AA$15)</f>
        <v>0</v>
      </c>
      <c r="AB39" s="195">
        <f>INDEX('Volume adjustments'!$J$571:$Y$611,AB$17 + 1 + $H39*$H$39, AB$15)</f>
        <v>0</v>
      </c>
      <c r="AC39" s="195">
        <f>INDEX('Volume adjustments'!$J$571:$Y$611,AC$17 + 1 + $H39*$H$39, AC$15)</f>
        <v>0</v>
      </c>
      <c r="AD39" s="195">
        <f>INDEX('Volume adjustments'!$J$571:$Y$611,AD$17 + 1 + $H39*$H$39, AD$15)</f>
        <v>0</v>
      </c>
      <c r="AE39" s="195">
        <f>INDEX('Volume adjustments'!$J$571:$Y$611,AE$17 + 1 + $H39*$H$39, AE$15)</f>
        <v>0</v>
      </c>
      <c r="AF39" s="195">
        <f>INDEX('Volume adjustments'!$J$571:$Y$611,AF$17 + 1 + $H39*$H$39, AF$15)</f>
        <v>0</v>
      </c>
      <c r="AG39" s="195">
        <f>INDEX('Volume adjustments'!$J$571:$Y$611,AG$17 + 1 + $H39*$H$39, AG$15)</f>
        <v>0</v>
      </c>
      <c r="AH39" s="195">
        <f>INDEX('Volume adjustments'!$J$571:$Y$611,AH$17 + 1 + $H39*$H$39, AH$15)</f>
        <v>0</v>
      </c>
      <c r="AI39" s="195">
        <f>INDEX('Volume adjustments'!$J$571:$Y$611,AI$17 + 1 + $H39*$H$39, AI$15)</f>
        <v>0</v>
      </c>
      <c r="AJ39" s="195">
        <f>INDEX('Volume adjustments'!$J$571:$Y$611,AJ$17 + 1 + $H39*$H$39, AJ$15)</f>
        <v>0</v>
      </c>
      <c r="AK39" s="195">
        <f>INDEX('Volume adjustments'!$J$571:$Y$611,AK$17 + 1 + $H39*$H$39, AK$15)</f>
        <v>0</v>
      </c>
      <c r="AL39" s="195">
        <f>INDEX('Volume adjustments'!$J$571:$Y$611,AL$17 + 1 + $H39*$H$39, AL$15)</f>
        <v>0</v>
      </c>
      <c r="AM39" s="195">
        <f>INDEX('Volume adjustments'!$J$571:$Y$611,AM$17 + 1 + $H39*$H$39, AM$15)</f>
        <v>0</v>
      </c>
      <c r="AN39" s="195">
        <f>INDEX('Volume adjustments'!$J$571:$Y$611,AN$17 + 1 + $H39*$H$39, AN$15)</f>
        <v>0</v>
      </c>
      <c r="AO39" s="195">
        <f>INDEX('Volume adjustments'!$J$571:$Y$611,AO$17 + 1 + $H39*$H$39, AO$15)</f>
        <v>0</v>
      </c>
    </row>
    <row r="40" spans="1:43" s="260" customFormat="1" x14ac:dyDescent="0.35">
      <c r="A40" s="377"/>
      <c r="E40" s="264"/>
      <c r="F40" s="235"/>
      <c r="G40" s="23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row>
    <row r="41" spans="1:43" x14ac:dyDescent="0.35">
      <c r="A41" s="320"/>
      <c r="E41" s="32" t="s">
        <v>256</v>
      </c>
      <c r="F41" s="352"/>
      <c r="G41" s="352"/>
      <c r="H41" s="311"/>
      <c r="I41" s="311" t="s">
        <v>154</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311"/>
      <c r="AQ41" t="s">
        <v>246</v>
      </c>
    </row>
    <row r="42" spans="1:43" x14ac:dyDescent="0.35">
      <c r="A42" s="320"/>
      <c r="E42" s="32"/>
      <c r="F42" s="405" t="s">
        <v>1039</v>
      </c>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row>
    <row r="43" spans="1:43" x14ac:dyDescent="0.35">
      <c r="A43" s="320"/>
      <c r="E43" s="32"/>
      <c r="F43" s="404" t="s">
        <v>1035</v>
      </c>
      <c r="G43" s="37"/>
    </row>
    <row r="44" spans="1:43" x14ac:dyDescent="0.35">
      <c r="A44" s="320"/>
      <c r="E44" s="28"/>
      <c r="F44" s="72" t="s">
        <v>247</v>
      </c>
      <c r="G44" s="72" t="s">
        <v>207</v>
      </c>
      <c r="H44" s="325">
        <v>0</v>
      </c>
      <c r="I44" s="23"/>
      <c r="J44" s="193">
        <f>INDEX('Volume adjustments'!$J$615:$Y$655,J$17 + 1 + $H44*$H$50, J$15)</f>
        <v>2739.2268624643116</v>
      </c>
      <c r="K44" s="193">
        <f>INDEX('Volume adjustments'!$J$615:$Y$655,K$17 + 1 + $H44*$H$50, K$15)</f>
        <v>0</v>
      </c>
      <c r="L44" s="193">
        <f>INDEX('Volume adjustments'!$J$615:$Y$655,L$17 + 1 + $H44*$H$50, L$15)</f>
        <v>0</v>
      </c>
      <c r="M44" s="193">
        <f>INDEX('Volume adjustments'!$J$615:$Y$655,M$17 + 1 + $H44*$H$50, M$15)</f>
        <v>4.5522385547304216</v>
      </c>
      <c r="N44" s="193">
        <f>INDEX('Volume adjustments'!$J$615:$Y$655,N$17 + 1 + $H44*$H$50, N$15)</f>
        <v>21.851644733095917</v>
      </c>
      <c r="O44" s="193">
        <f>INDEX('Volume adjustments'!$J$615:$Y$655,O$17 + 1 + $H44*$H$50, O$15)</f>
        <v>30.446445340874984</v>
      </c>
      <c r="P44" s="193">
        <f>INDEX('Volume adjustments'!$J$615:$Y$655,P$17 + 1 + $H44*$H$50, P$15)</f>
        <v>80.576673964797763</v>
      </c>
      <c r="Q44" s="193">
        <f>INDEX('Volume adjustments'!$J$615:$Y$655,Q$17 + 1 + $H44*$H$50, Q$15)</f>
        <v>0</v>
      </c>
      <c r="R44" s="193">
        <f>INDEX('Volume adjustments'!$J$615:$Y$655,R$17 + 1 + $H44*$H$50, R$15)</f>
        <v>0</v>
      </c>
      <c r="S44" s="193">
        <f>INDEX('Volume adjustments'!$J$615:$Y$655,S$17 + 1 + $H44*$H$50, S$15)</f>
        <v>122.56925388587857</v>
      </c>
      <c r="T44" s="193">
        <f>INDEX('Volume adjustments'!$J$615:$Y$655,T$17 + 1 + $H44*$H$50, T$15)</f>
        <v>125.92287708391179</v>
      </c>
      <c r="U44" s="193">
        <f>INDEX('Volume adjustments'!$J$615:$Y$655,U$17 + 1 + $H44*$H$50, U$15)</f>
        <v>95.211634685478558</v>
      </c>
      <c r="V44" s="193">
        <f>INDEX('Volume adjustments'!$J$615:$Y$655,V$17 + 1 + $H44*$H$50, V$15)</f>
        <v>259.15942066355075</v>
      </c>
      <c r="W44" s="193">
        <f>INDEX('Volume adjustments'!$J$615:$Y$655,W$17 + 1 + $H44*$H$50, W$15)</f>
        <v>0</v>
      </c>
      <c r="X44" s="193">
        <f>INDEX('Volume adjustments'!$J$615:$Y$655,X$17 + 1 + $H44*$H$50, X$15)</f>
        <v>5.6441886745225016</v>
      </c>
      <c r="Y44" s="193">
        <f>INDEX('Volume adjustments'!$J$615:$Y$655,Y$17 + 1 + $H44*$H$50, Y$15)</f>
        <v>3.4619146204801168</v>
      </c>
      <c r="Z44" s="193">
        <f>INDEX('Volume adjustments'!$J$615:$Y$655,Z$17 + 1 + $H44*$H$50, Z$15)</f>
        <v>10.256381349878021</v>
      </c>
      <c r="AA44" s="193">
        <f>INDEX('Volume adjustments'!$J$615:$Y$655,AA$17 + 1 + $H44*$H$50, AA$15)</f>
        <v>80.103539739162784</v>
      </c>
      <c r="AB44" s="193">
        <f>INDEX('Volume adjustments'!$J$615:$Y$655,AB$17 + 1 + $H44*$H$50, AB$15)</f>
        <v>0</v>
      </c>
      <c r="AC44" s="193">
        <f>INDEX('Volume adjustments'!$J$615:$Y$655,AC$17 + 1 + $H44*$H$50, AC$15)</f>
        <v>0.66105333572489777</v>
      </c>
      <c r="AD44" s="193">
        <f>INDEX('Volume adjustments'!$J$615:$Y$655,AD$17 + 1 + $H44*$H$50, AD$15)</f>
        <v>1.838095757152941</v>
      </c>
      <c r="AE44" s="193">
        <f>INDEX('Volume adjustments'!$J$615:$Y$655,AE$17 + 1 + $H44*$H$50, AE$15)</f>
        <v>1.5389823276936789</v>
      </c>
      <c r="AF44" s="193">
        <f>INDEX('Volume adjustments'!$J$615:$Y$655,AF$17 + 1 + $H44*$H$50, AF$15)</f>
        <v>3.0883957529074912</v>
      </c>
      <c r="AG44" s="193">
        <f>INDEX('Volume adjustments'!$J$615:$Y$655,AG$17 + 1 + $H44*$H$50, AG$15)</f>
        <v>0</v>
      </c>
      <c r="AH44" s="193">
        <f>INDEX('Volume adjustments'!$J$615:$Y$655,AH$17 + 1 + $H44*$H$50, AH$15)</f>
        <v>0</v>
      </c>
      <c r="AI44" s="193">
        <f>INDEX('Volume adjustments'!$J$615:$Y$655,AI$17 + 1 + $H44*$H$50, AI$15)</f>
        <v>0</v>
      </c>
      <c r="AJ44" s="193">
        <f>INDEX('Volume adjustments'!$J$615:$Y$655,AJ$17 + 1 + $H44*$H$50, AJ$15)</f>
        <v>0</v>
      </c>
      <c r="AK44" s="193">
        <f>INDEX('Volume adjustments'!$J$615:$Y$655,AK$17 + 1 + $H44*$H$50, AK$15)</f>
        <v>0</v>
      </c>
      <c r="AL44" s="193">
        <f>INDEX('Volume adjustments'!$J$615:$Y$655,AL$17 + 1 + $H44*$H$50, AL$15)</f>
        <v>0</v>
      </c>
      <c r="AM44" s="193">
        <f>INDEX('Volume adjustments'!$J$615:$Y$655,AM$17 + 1 + $H44*$H$50, AM$15)</f>
        <v>0</v>
      </c>
      <c r="AN44" s="193">
        <f>INDEX('Volume adjustments'!$J$615:$Y$655,AN$17 + 1 + $H44*$H$50, AN$15)</f>
        <v>0</v>
      </c>
      <c r="AO44" s="193">
        <f>INDEX('Volume adjustments'!$J$615:$Y$655,AO$17 + 1 + $H44*$H$50, AO$15)</f>
        <v>0</v>
      </c>
    </row>
    <row r="45" spans="1:43" x14ac:dyDescent="0.35">
      <c r="A45" s="320"/>
      <c r="E45" s="28"/>
      <c r="F45" s="72" t="s">
        <v>248</v>
      </c>
      <c r="G45" s="72" t="s">
        <v>207</v>
      </c>
      <c r="H45" s="376">
        <v>1</v>
      </c>
      <c r="J45" s="339">
        <f>INDEX('Volume adjustments'!$J$615:$Y$655,J$17 + 1 + $H45*$H$50, J$15)</f>
        <v>10465.580404895036</v>
      </c>
      <c r="K45" s="339">
        <f>INDEX('Volume adjustments'!$J$615:$Y$655,K$17 + 1 + $H45*$H$50, K$15)</f>
        <v>0</v>
      </c>
      <c r="L45" s="339">
        <f>INDEX('Volume adjustments'!$J$615:$Y$655,L$17 + 1 + $H45*$H$50, L$15)</f>
        <v>0</v>
      </c>
      <c r="M45" s="339">
        <f>INDEX('Volume adjustments'!$J$615:$Y$655,M$17 + 1 + $H45*$H$50, M$15)</f>
        <v>24.337727229138469</v>
      </c>
      <c r="N45" s="339">
        <f>INDEX('Volume adjustments'!$J$615:$Y$655,N$17 + 1 + $H45*$H$50, N$15)</f>
        <v>116.82590062629582</v>
      </c>
      <c r="O45" s="339">
        <f>INDEX('Volume adjustments'!$J$615:$Y$655,O$17 + 1 + $H45*$H$50, O$15)</f>
        <v>162.77646105191212</v>
      </c>
      <c r="P45" s="339">
        <f>INDEX('Volume adjustments'!$J$615:$Y$655,P$17 + 1 + $H45*$H$50, P$15)</f>
        <v>430.78874017897385</v>
      </c>
      <c r="Q45" s="339">
        <f>INDEX('Volume adjustments'!$J$615:$Y$655,Q$17 + 1 + $H45*$H$50, Q$15)</f>
        <v>0</v>
      </c>
      <c r="R45" s="339">
        <f>INDEX('Volume adjustments'!$J$615:$Y$655,R$17 + 1 + $H45*$H$50, R$15)</f>
        <v>0</v>
      </c>
      <c r="S45" s="339">
        <f>INDEX('Volume adjustments'!$J$615:$Y$655,S$17 + 1 + $H45*$H$50, S$15)</f>
        <v>927.9349906911998</v>
      </c>
      <c r="T45" s="339">
        <f>INDEX('Volume adjustments'!$J$615:$Y$655,T$17 + 1 + $H45*$H$50, T$15)</f>
        <v>953.32426420302363</v>
      </c>
      <c r="U45" s="339">
        <f>INDEX('Volume adjustments'!$J$615:$Y$655,U$17 + 1 + $H45*$H$50, U$15)</f>
        <v>720.81867633643537</v>
      </c>
      <c r="V45" s="339">
        <f>INDEX('Volume adjustments'!$J$615:$Y$655,V$17 + 1 + $H45*$H$50, V$15)</f>
        <v>1962.0180997828136</v>
      </c>
      <c r="W45" s="339">
        <f>INDEX('Volume adjustments'!$J$615:$Y$655,W$17 + 1 + $H45*$H$50, W$15)</f>
        <v>0</v>
      </c>
      <c r="X45" s="339">
        <f>INDEX('Volume adjustments'!$J$615:$Y$655,X$17 + 1 + $H45*$H$50, X$15)</f>
        <v>25.033464063710976</v>
      </c>
      <c r="Y45" s="339">
        <f>INDEX('Volume adjustments'!$J$615:$Y$655,Y$17 + 1 + $H45*$H$50, Y$15)</f>
        <v>15.354503586072338</v>
      </c>
      <c r="Z45" s="339">
        <f>INDEX('Volume adjustments'!$J$615:$Y$655,Z$17 + 1 + $H45*$H$50, Z$15)</f>
        <v>45.489753931304968</v>
      </c>
      <c r="AA45" s="339">
        <f>INDEX('Volume adjustments'!$J$615:$Y$655,AA$17 + 1 + $H45*$H$50, AA$15)</f>
        <v>355.28030671405958</v>
      </c>
      <c r="AB45" s="339">
        <f>INDEX('Volume adjustments'!$J$615:$Y$655,AB$17 + 1 + $H45*$H$50, AB$15)</f>
        <v>0</v>
      </c>
      <c r="AC45" s="339">
        <f>INDEX('Volume adjustments'!$J$615:$Y$655,AC$17 + 1 + $H45*$H$50, AC$15)</f>
        <v>2.7760263821069309</v>
      </c>
      <c r="AD45" s="339">
        <f>INDEX('Volume adjustments'!$J$615:$Y$655,AD$17 + 1 + $H45*$H$50, AD$15)</f>
        <v>7.7188965533317635</v>
      </c>
      <c r="AE45" s="339">
        <f>INDEX('Volume adjustments'!$J$615:$Y$655,AE$17 + 1 + $H45*$H$50, AE$15)</f>
        <v>6.4628000683017772</v>
      </c>
      <c r="AF45" s="339">
        <f>INDEX('Volume adjustments'!$J$615:$Y$655,AF$17 + 1 + $H45*$H$50, AF$15)</f>
        <v>12.969404471814217</v>
      </c>
      <c r="AG45" s="339">
        <f>INDEX('Volume adjustments'!$J$615:$Y$655,AG$17 + 1 + $H45*$H$50, AG$15)</f>
        <v>0.65693548387096823</v>
      </c>
      <c r="AH45" s="339">
        <f>INDEX('Volume adjustments'!$J$615:$Y$655,AH$17 + 1 + $H45*$H$50, AH$15)</f>
        <v>0</v>
      </c>
      <c r="AI45" s="339">
        <f>INDEX('Volume adjustments'!$J$615:$Y$655,AI$17 + 1 + $H45*$H$50, AI$15)</f>
        <v>0</v>
      </c>
      <c r="AJ45" s="339">
        <f>INDEX('Volume adjustments'!$J$615:$Y$655,AJ$17 + 1 + $H45*$H$50, AJ$15)</f>
        <v>0</v>
      </c>
      <c r="AK45" s="339">
        <f>INDEX('Volume adjustments'!$J$615:$Y$655,AK$17 + 1 + $H45*$H$50, AK$15)</f>
        <v>0</v>
      </c>
      <c r="AL45" s="339">
        <f>INDEX('Volume adjustments'!$J$615:$Y$655,AL$17 + 1 + $H45*$H$50, AL$15)</f>
        <v>0</v>
      </c>
      <c r="AM45" s="339">
        <f>INDEX('Volume adjustments'!$J$615:$Y$655,AM$17 + 1 + $H45*$H$50, AM$15)</f>
        <v>0</v>
      </c>
      <c r="AN45" s="339">
        <f>INDEX('Volume adjustments'!$J$615:$Y$655,AN$17 + 1 + $H45*$H$50, AN$15)</f>
        <v>0</v>
      </c>
      <c r="AO45" s="339">
        <f>INDEX('Volume adjustments'!$J$615:$Y$655,AO$17 + 1 + $H45*$H$50, AO$15)</f>
        <v>0</v>
      </c>
    </row>
    <row r="46" spans="1:43" x14ac:dyDescent="0.35">
      <c r="A46" s="320"/>
      <c r="E46" s="28"/>
      <c r="F46" s="72" t="s">
        <v>249</v>
      </c>
      <c r="G46" s="72" t="s">
        <v>207</v>
      </c>
      <c r="H46" s="376">
        <v>2</v>
      </c>
      <c r="J46" s="339">
        <f>INDEX('Volume adjustments'!$J$615:$Y$655,J$17 + 1 + $H46*$H$50, J$15)</f>
        <v>7996.9438121945923</v>
      </c>
      <c r="K46" s="339">
        <f>INDEX('Volume adjustments'!$J$615:$Y$655,K$17 + 1 + $H46*$H$50, K$15)</f>
        <v>0</v>
      </c>
      <c r="L46" s="339">
        <f>INDEX('Volume adjustments'!$J$615:$Y$655,L$17 + 1 + $H46*$H$50, L$15)</f>
        <v>0</v>
      </c>
      <c r="M46" s="339">
        <f>INDEX('Volume adjustments'!$J$615:$Y$655,M$17 + 1 + $H46*$H$50, M$15)</f>
        <v>13.54348428198894</v>
      </c>
      <c r="N46" s="339">
        <f>INDEX('Volume adjustments'!$J$615:$Y$655,N$17 + 1 + $H46*$H$50, N$15)</f>
        <v>65.01140118651287</v>
      </c>
      <c r="O46" s="339">
        <f>INDEX('Volume adjustments'!$J$615:$Y$655,O$17 + 1 + $H46*$H$50, O$15)</f>
        <v>90.582017826830409</v>
      </c>
      <c r="P46" s="339">
        <f>INDEX('Volume adjustments'!$J$615:$Y$655,P$17 + 1 + $H46*$H$50, P$15)</f>
        <v>239.7257753997057</v>
      </c>
      <c r="Q46" s="339">
        <f>INDEX('Volume adjustments'!$J$615:$Y$655,Q$17 + 1 + $H46*$H$50, Q$15)</f>
        <v>0</v>
      </c>
      <c r="R46" s="339">
        <f>INDEX('Volume adjustments'!$J$615:$Y$655,R$17 + 1 + $H46*$H$50, R$15)</f>
        <v>0</v>
      </c>
      <c r="S46" s="339">
        <f>INDEX('Volume adjustments'!$J$615:$Y$655,S$17 + 1 + $H46*$H$50, S$15)</f>
        <v>771.32540814144784</v>
      </c>
      <c r="T46" s="339">
        <f>INDEX('Volume adjustments'!$J$615:$Y$655,T$17 + 1 + $H46*$H$50, T$15)</f>
        <v>792.42967940007884</v>
      </c>
      <c r="U46" s="339">
        <f>INDEX('Volume adjustments'!$J$615:$Y$655,U$17 + 1 + $H46*$H$50, U$15)</f>
        <v>599.16455926189042</v>
      </c>
      <c r="V46" s="339">
        <f>INDEX('Volume adjustments'!$J$615:$Y$655,V$17 + 1 + $H46*$H$50, V$15)</f>
        <v>1630.8840886241608</v>
      </c>
      <c r="W46" s="339">
        <f>INDEX('Volume adjustments'!$J$615:$Y$655,W$17 + 1 + $H46*$H$50, W$15)</f>
        <v>0</v>
      </c>
      <c r="X46" s="339">
        <f>INDEX('Volume adjustments'!$J$615:$Y$655,X$17 + 1 + $H46*$H$50, X$15)</f>
        <v>27.488787649244045</v>
      </c>
      <c r="Y46" s="339">
        <f>INDEX('Volume adjustments'!$J$615:$Y$655,Y$17 + 1 + $H46*$H$50, Y$15)</f>
        <v>16.86049870936359</v>
      </c>
      <c r="Z46" s="339">
        <f>INDEX('Volume adjustments'!$J$615:$Y$655,Z$17 + 1 + $H46*$H$50, Z$15)</f>
        <v>49.951464282032653</v>
      </c>
      <c r="AA46" s="339">
        <f>INDEX('Volume adjustments'!$J$615:$Y$655,AA$17 + 1 + $H46*$H$50, AA$15)</f>
        <v>390.12678718237794</v>
      </c>
      <c r="AB46" s="339">
        <f>INDEX('Volume adjustments'!$J$615:$Y$655,AB$17 + 1 + $H46*$H$50, AB$15)</f>
        <v>0</v>
      </c>
      <c r="AC46" s="339">
        <f>INDEX('Volume adjustments'!$J$615:$Y$655,AC$17 + 1 + $H46*$H$50, AC$15)</f>
        <v>2.1244230506994759</v>
      </c>
      <c r="AD46" s="339">
        <f>INDEX('Volume adjustments'!$J$615:$Y$655,AD$17 + 1 + $H46*$H$50, AD$15)</f>
        <v>5.9070770615000185</v>
      </c>
      <c r="AE46" s="339">
        <f>INDEX('Volume adjustments'!$J$615:$Y$655,AE$17 + 1 + $H46*$H$50, AE$15)</f>
        <v>4.9458180677454324</v>
      </c>
      <c r="AF46" s="339">
        <f>INDEX('Volume adjustments'!$J$615:$Y$655,AF$17 + 1 + $H46*$H$50, AF$15)</f>
        <v>9.9251584896161411</v>
      </c>
      <c r="AG46" s="339">
        <f>INDEX('Volume adjustments'!$J$615:$Y$655,AG$17 + 1 + $H46*$H$50, AG$15)</f>
        <v>0.37541935483870986</v>
      </c>
      <c r="AH46" s="339">
        <f>INDEX('Volume adjustments'!$J$615:$Y$655,AH$17 + 1 + $H46*$H$50, AH$15)</f>
        <v>0</v>
      </c>
      <c r="AI46" s="339">
        <f>INDEX('Volume adjustments'!$J$615:$Y$655,AI$17 + 1 + $H46*$H$50, AI$15)</f>
        <v>0</v>
      </c>
      <c r="AJ46" s="339">
        <f>INDEX('Volume adjustments'!$J$615:$Y$655,AJ$17 + 1 + $H46*$H$50, AJ$15)</f>
        <v>0</v>
      </c>
      <c r="AK46" s="339">
        <f>INDEX('Volume adjustments'!$J$615:$Y$655,AK$17 + 1 + $H46*$H$50, AK$15)</f>
        <v>0</v>
      </c>
      <c r="AL46" s="339">
        <f>INDEX('Volume adjustments'!$J$615:$Y$655,AL$17 + 1 + $H46*$H$50, AL$15)</f>
        <v>0</v>
      </c>
      <c r="AM46" s="339">
        <f>INDEX('Volume adjustments'!$J$615:$Y$655,AM$17 + 1 + $H46*$H$50, AM$15)</f>
        <v>0</v>
      </c>
      <c r="AN46" s="339">
        <f>INDEX('Volume adjustments'!$J$615:$Y$655,AN$17 + 1 + $H46*$H$50, AN$15)</f>
        <v>0</v>
      </c>
      <c r="AO46" s="339">
        <f>INDEX('Volume adjustments'!$J$615:$Y$655,AO$17 + 1 + $H46*$H$50, AO$15)</f>
        <v>0</v>
      </c>
    </row>
    <row r="47" spans="1:43" x14ac:dyDescent="0.35">
      <c r="A47" s="320"/>
      <c r="E47" s="28"/>
      <c r="F47" s="72" t="s">
        <v>212</v>
      </c>
      <c r="G47" s="72" t="s">
        <v>212</v>
      </c>
      <c r="H47" s="376">
        <v>3</v>
      </c>
      <c r="J47" s="339">
        <f>INDEX('Volume adjustments'!$J$615:$Y$655,J$17 + 1 + $H47*$H$50, J$15)</f>
        <v>7619.4875686369887</v>
      </c>
      <c r="K47" s="339">
        <f>INDEX('Volume adjustments'!$J$615:$Y$655,K$17 + 1 + $H47*$H$50, K$15)</f>
        <v>0</v>
      </c>
      <c r="L47" s="339">
        <f>INDEX('Volume adjustments'!$J$615:$Y$655,L$17 + 1 + $H47*$H$50, L$15)</f>
        <v>0</v>
      </c>
      <c r="M47" s="339">
        <f>INDEX('Volume adjustments'!$J$615:$Y$655,M$17 + 1 + $H47*$H$50, M$15)</f>
        <v>30.663925947662449</v>
      </c>
      <c r="N47" s="339">
        <f>INDEX('Volume adjustments'!$J$615:$Y$655,N$17 + 1 + $H47*$H$50, N$15)</f>
        <v>24.874260080786939</v>
      </c>
      <c r="O47" s="339">
        <f>INDEX('Volume adjustments'!$J$615:$Y$655,O$17 + 1 + $H47*$H$50, O$15)</f>
        <v>14.044950378560182</v>
      </c>
      <c r="P47" s="339">
        <f>INDEX('Volume adjustments'!$J$615:$Y$655,P$17 + 1 + $H47*$H$50, P$15)</f>
        <v>11.359997559826274</v>
      </c>
      <c r="Q47" s="339">
        <f>INDEX('Volume adjustments'!$J$615:$Y$655,Q$17 + 1 + $H47*$H$50, Q$15)</f>
        <v>0</v>
      </c>
      <c r="R47" s="339">
        <f>INDEX('Volume adjustments'!$J$615:$Y$655,R$17 + 1 + $H47*$H$50, R$15)</f>
        <v>0</v>
      </c>
      <c r="S47" s="339">
        <f>INDEX('Volume adjustments'!$J$615:$Y$655,S$17 + 1 + $H47*$H$50, S$15)</f>
        <v>6.2806667441171582</v>
      </c>
      <c r="T47" s="339">
        <f>INDEX('Volume adjustments'!$J$615:$Y$655,T$17 + 1 + $H47*$H$50, T$15)</f>
        <v>3.3804884841149057</v>
      </c>
      <c r="U47" s="339">
        <f>INDEX('Volume adjustments'!$J$615:$Y$655,U$17 + 1 + $H47*$H$50, U$15)</f>
        <v>1.5549025899240143</v>
      </c>
      <c r="V47" s="339">
        <f>INDEX('Volume adjustments'!$J$615:$Y$655,V$17 + 1 + $H47*$H$50, V$15)</f>
        <v>1.9090296195663947</v>
      </c>
      <c r="W47" s="339">
        <f>INDEX('Volume adjustments'!$J$615:$Y$655,W$17 + 1 + $H47*$H$50, W$15)</f>
        <v>0</v>
      </c>
      <c r="X47" s="339">
        <f>INDEX('Volume adjustments'!$J$615:$Y$655,X$17 + 1 + $H47*$H$50, X$15)</f>
        <v>0.16363636363636364</v>
      </c>
      <c r="Y47" s="339">
        <f>INDEX('Volume adjustments'!$J$615:$Y$655,Y$17 + 1 + $H47*$H$50, Y$15)</f>
        <v>0.21818181818181817</v>
      </c>
      <c r="Z47" s="339">
        <f>INDEX('Volume adjustments'!$J$615:$Y$655,Z$17 + 1 + $H47*$H$50, Z$15)</f>
        <v>0.43636363636363634</v>
      </c>
      <c r="AA47" s="339">
        <f>INDEX('Volume adjustments'!$J$615:$Y$655,AA$17 + 1 + $H47*$H$50, AA$15)</f>
        <v>1.1818181818181819</v>
      </c>
      <c r="AB47" s="339">
        <f>INDEX('Volume adjustments'!$J$615:$Y$655,AB$17 + 1 + $H47*$H$50, AB$15)</f>
        <v>0</v>
      </c>
      <c r="AC47" s="339">
        <f>INDEX('Volume adjustments'!$J$615:$Y$655,AC$17 + 1 + $H47*$H$50, AC$15)</f>
        <v>0.61595273264401773</v>
      </c>
      <c r="AD47" s="339">
        <f>INDEX('Volume adjustments'!$J$615:$Y$655,AD$17 + 1 + $H47*$H$50, AD$15)</f>
        <v>0.22008862629246675</v>
      </c>
      <c r="AE47" s="339">
        <f>INDEX('Volume adjustments'!$J$615:$Y$655,AE$17 + 1 + $H47*$H$50, AE$15)</f>
        <v>8.5672082717872966E-2</v>
      </c>
      <c r="AF47" s="339">
        <f>INDEX('Volume adjustments'!$J$615:$Y$655,AF$17 + 1 + $H47*$H$50, AF$15)</f>
        <v>7.8286558345642535E-2</v>
      </c>
      <c r="AG47" s="339">
        <f>INDEX('Volume adjustments'!$J$615:$Y$655,AG$17 + 1 + $H47*$H$50, AG$15)</f>
        <v>3.7419354838709675</v>
      </c>
      <c r="AH47" s="339">
        <f>INDEX('Volume adjustments'!$J$615:$Y$655,AH$17 + 1 + $H47*$H$50, AH$15)</f>
        <v>0</v>
      </c>
      <c r="AI47" s="339">
        <f>INDEX('Volume adjustments'!$J$615:$Y$655,AI$17 + 1 + $H47*$H$50, AI$15)</f>
        <v>0</v>
      </c>
      <c r="AJ47" s="339">
        <f>INDEX('Volume adjustments'!$J$615:$Y$655,AJ$17 + 1 + $H47*$H$50, AJ$15)</f>
        <v>0</v>
      </c>
      <c r="AK47" s="339">
        <f>INDEX('Volume adjustments'!$J$615:$Y$655,AK$17 + 1 + $H47*$H$50, AK$15)</f>
        <v>0</v>
      </c>
      <c r="AL47" s="339">
        <f>INDEX('Volume adjustments'!$J$615:$Y$655,AL$17 + 1 + $H47*$H$50, AL$15)</f>
        <v>0</v>
      </c>
      <c r="AM47" s="339">
        <f>INDEX('Volume adjustments'!$J$615:$Y$655,AM$17 + 1 + $H47*$H$50, AM$15)</f>
        <v>0</v>
      </c>
      <c r="AN47" s="339">
        <f>INDEX('Volume adjustments'!$J$615:$Y$655,AN$17 + 1 + $H47*$H$50, AN$15)</f>
        <v>0</v>
      </c>
      <c r="AO47" s="339">
        <f>INDEX('Volume adjustments'!$J$615:$Y$655,AO$17 + 1 + $H47*$H$50, AO$15)</f>
        <v>0</v>
      </c>
    </row>
    <row r="48" spans="1:43" x14ac:dyDescent="0.35">
      <c r="A48" s="320"/>
      <c r="E48" s="28"/>
      <c r="F48" s="72" t="s">
        <v>250</v>
      </c>
      <c r="G48" s="72" t="s">
        <v>251</v>
      </c>
      <c r="H48" s="376">
        <v>4</v>
      </c>
      <c r="J48" s="339">
        <f>INDEX('Volume adjustments'!$J$615:$Y$655,J$17 + 1 + $H48*$H$50, J$15)</f>
        <v>0</v>
      </c>
      <c r="K48" s="339">
        <f>INDEX('Volume adjustments'!$J$615:$Y$655,K$17 + 1 + $H48*$H$50, K$15)</f>
        <v>0</v>
      </c>
      <c r="L48" s="339">
        <f>INDEX('Volume adjustments'!$J$615:$Y$655,L$17 + 1 + $H48*$H$50, L$15)</f>
        <v>0</v>
      </c>
      <c r="M48" s="339">
        <f>INDEX('Volume adjustments'!$J$615:$Y$655,M$17 + 1 + $H48*$H$50, M$15)</f>
        <v>0</v>
      </c>
      <c r="N48" s="339">
        <f>INDEX('Volume adjustments'!$J$615:$Y$655,N$17 + 1 + $H48*$H$50, N$15)</f>
        <v>0</v>
      </c>
      <c r="O48" s="339">
        <f>INDEX('Volume adjustments'!$J$615:$Y$655,O$17 + 1 + $H48*$H$50, O$15)</f>
        <v>0</v>
      </c>
      <c r="P48" s="339">
        <f>INDEX('Volume adjustments'!$J$615:$Y$655,P$17 + 1 + $H48*$H$50, P$15)</f>
        <v>0</v>
      </c>
      <c r="Q48" s="339">
        <f>INDEX('Volume adjustments'!$J$615:$Y$655,Q$17 + 1 + $H48*$H$50, Q$15)</f>
        <v>0</v>
      </c>
      <c r="R48" s="339">
        <f>INDEX('Volume adjustments'!$J$615:$Y$655,R$17 + 1 + $H48*$H$50, R$15)</f>
        <v>0</v>
      </c>
      <c r="S48" s="339">
        <f>INDEX('Volume adjustments'!$J$615:$Y$655,S$17 + 1 + $H48*$H$50, S$15)</f>
        <v>668.8402588864227</v>
      </c>
      <c r="T48" s="339">
        <f>INDEX('Volume adjustments'!$J$615:$Y$655,T$17 + 1 + $H48*$H$50, T$15)</f>
        <v>687.14042909116665</v>
      </c>
      <c r="U48" s="339">
        <f>INDEX('Volume adjustments'!$J$615:$Y$655,U$17 + 1 + $H48*$H$50, U$15)</f>
        <v>519.55423055220081</v>
      </c>
      <c r="V48" s="339">
        <f>INDEX('Volume adjustments'!$J$615:$Y$655,V$17 + 1 + $H48*$H$50, V$15)</f>
        <v>1414.1903333347695</v>
      </c>
      <c r="W48" s="339">
        <f>INDEX('Volume adjustments'!$J$615:$Y$655,W$17 + 1 + $H48*$H$50, W$15)</f>
        <v>0</v>
      </c>
      <c r="X48" s="339">
        <f>INDEX('Volume adjustments'!$J$615:$Y$655,X$17 + 1 + $H48*$H$50, X$15)</f>
        <v>54.399435145316467</v>
      </c>
      <c r="Y48" s="339">
        <f>INDEX('Volume adjustments'!$J$615:$Y$655,Y$17 + 1 + $H48*$H$50, Y$15)</f>
        <v>33.366389880891674</v>
      </c>
      <c r="Z48" s="339">
        <f>INDEX('Volume adjustments'!$J$615:$Y$655,Z$17 + 1 + $H48*$H$50, Z$15)</f>
        <v>98.852356688009664</v>
      </c>
      <c r="AA48" s="339">
        <f>INDEX('Volume adjustments'!$J$615:$Y$655,AA$17 + 1 + $H48*$H$50, AA$15)</f>
        <v>772.04848495244858</v>
      </c>
      <c r="AB48" s="339">
        <f>INDEX('Volume adjustments'!$J$615:$Y$655,AB$17 + 1 + $H48*$H$50, AB$15)</f>
        <v>0</v>
      </c>
      <c r="AC48" s="339">
        <f>INDEX('Volume adjustments'!$J$615:$Y$655,AC$17 + 1 + $H48*$H$50, AC$15)</f>
        <v>1646.4817187231479</v>
      </c>
      <c r="AD48" s="339">
        <f>INDEX('Volume adjustments'!$J$615:$Y$655,AD$17 + 1 + $H48*$H$50, AD$15)</f>
        <v>4578.1344679188715</v>
      </c>
      <c r="AE48" s="339">
        <f>INDEX('Volume adjustments'!$J$615:$Y$655,AE$17 + 1 + $H48*$H$50, AE$15)</f>
        <v>3833.1343797047916</v>
      </c>
      <c r="AF48" s="339">
        <f>INDEX('Volume adjustments'!$J$615:$Y$655,AF$17 + 1 + $H48*$H$50, AF$15)</f>
        <v>7692.249433653189</v>
      </c>
      <c r="AG48" s="339">
        <f>INDEX('Volume adjustments'!$J$615:$Y$655,AG$17 + 1 + $H48*$H$50, AG$15)</f>
        <v>0</v>
      </c>
      <c r="AH48" s="339">
        <f>INDEX('Volume adjustments'!$J$615:$Y$655,AH$17 + 1 + $H48*$H$50, AH$15)</f>
        <v>0</v>
      </c>
      <c r="AI48" s="339">
        <f>INDEX('Volume adjustments'!$J$615:$Y$655,AI$17 + 1 + $H48*$H$50, AI$15)</f>
        <v>0</v>
      </c>
      <c r="AJ48" s="339">
        <f>INDEX('Volume adjustments'!$J$615:$Y$655,AJ$17 + 1 + $H48*$H$50, AJ$15)</f>
        <v>0</v>
      </c>
      <c r="AK48" s="339">
        <f>INDEX('Volume adjustments'!$J$615:$Y$655,AK$17 + 1 + $H48*$H$50, AK$15)</f>
        <v>0</v>
      </c>
      <c r="AL48" s="339">
        <f>INDEX('Volume adjustments'!$J$615:$Y$655,AL$17 + 1 + $H48*$H$50, AL$15)</f>
        <v>0</v>
      </c>
      <c r="AM48" s="339">
        <f>INDEX('Volume adjustments'!$J$615:$Y$655,AM$17 + 1 + $H48*$H$50, AM$15)</f>
        <v>0</v>
      </c>
      <c r="AN48" s="339">
        <f>INDEX('Volume adjustments'!$J$615:$Y$655,AN$17 + 1 + $H48*$H$50, AN$15)</f>
        <v>0</v>
      </c>
      <c r="AO48" s="339">
        <f>INDEX('Volume adjustments'!$J$615:$Y$655,AO$17 + 1 + $H48*$H$50, AO$15)</f>
        <v>0</v>
      </c>
    </row>
    <row r="49" spans="1:43" x14ac:dyDescent="0.35">
      <c r="A49" s="320"/>
      <c r="E49" s="28"/>
      <c r="F49" s="72" t="s">
        <v>252</v>
      </c>
      <c r="G49" s="72" t="s">
        <v>251</v>
      </c>
      <c r="H49" s="376">
        <v>5</v>
      </c>
      <c r="J49" s="339">
        <f>INDEX('Volume adjustments'!$J$615:$Y$655,J$17 + 1 + $H49*$H$50, J$15)</f>
        <v>0</v>
      </c>
      <c r="K49" s="339">
        <f>INDEX('Volume adjustments'!$J$615:$Y$655,K$17 + 1 + $H49*$H$50, K$15)</f>
        <v>0</v>
      </c>
      <c r="L49" s="339">
        <f>INDEX('Volume adjustments'!$J$615:$Y$655,L$17 + 1 + $H49*$H$50, L$15)</f>
        <v>0</v>
      </c>
      <c r="M49" s="339">
        <f>INDEX('Volume adjustments'!$J$615:$Y$655,M$17 + 1 + $H49*$H$50, M$15)</f>
        <v>0</v>
      </c>
      <c r="N49" s="339">
        <f>INDEX('Volume adjustments'!$J$615:$Y$655,N$17 + 1 + $H49*$H$50, N$15)</f>
        <v>0</v>
      </c>
      <c r="O49" s="339">
        <f>INDEX('Volume adjustments'!$J$615:$Y$655,O$17 + 1 + $H49*$H$50, O$15)</f>
        <v>0</v>
      </c>
      <c r="P49" s="339">
        <f>INDEX('Volume adjustments'!$J$615:$Y$655,P$17 + 1 + $H49*$H$50, P$15)</f>
        <v>0</v>
      </c>
      <c r="Q49" s="339">
        <f>INDEX('Volume adjustments'!$J$615:$Y$655,Q$17 + 1 + $H49*$H$50, Q$15)</f>
        <v>0</v>
      </c>
      <c r="R49" s="339">
        <f>INDEX('Volume adjustments'!$J$615:$Y$655,R$17 + 1 + $H49*$H$50, R$15)</f>
        <v>0</v>
      </c>
      <c r="S49" s="339">
        <f>INDEX('Volume adjustments'!$J$615:$Y$655,S$17 + 1 + $H49*$H$50, S$15)</f>
        <v>5.5359238884504505</v>
      </c>
      <c r="T49" s="339">
        <f>INDEX('Volume adjustments'!$J$615:$Y$655,T$17 + 1 + $H49*$H$50, T$15)</f>
        <v>5.6873925658411082</v>
      </c>
      <c r="U49" s="339">
        <f>INDEX('Volume adjustments'!$J$615:$Y$655,U$17 + 1 + $H49*$H$50, U$15)</f>
        <v>4.3002983717638887</v>
      </c>
      <c r="V49" s="339">
        <f>INDEX('Volume adjustments'!$J$615:$Y$655,V$17 + 1 + $H49*$H$50, V$15)</f>
        <v>11.705111863568446</v>
      </c>
      <c r="W49" s="339">
        <f>INDEX('Volume adjustments'!$J$615:$Y$655,W$17 + 1 + $H49*$H$50, W$15)</f>
        <v>0</v>
      </c>
      <c r="X49" s="339">
        <f>INDEX('Volume adjustments'!$J$615:$Y$655,X$17 + 1 + $H49*$H$50, X$15)</f>
        <v>0</v>
      </c>
      <c r="Y49" s="339">
        <f>INDEX('Volume adjustments'!$J$615:$Y$655,Y$17 + 1 + $H49*$H$50, Y$15)</f>
        <v>0</v>
      </c>
      <c r="Z49" s="339">
        <f>INDEX('Volume adjustments'!$J$615:$Y$655,Z$17 + 1 + $H49*$H$50, Z$15)</f>
        <v>0</v>
      </c>
      <c r="AA49" s="339">
        <f>INDEX('Volume adjustments'!$J$615:$Y$655,AA$17 + 1 + $H49*$H$50, AA$15)</f>
        <v>0</v>
      </c>
      <c r="AB49" s="339">
        <f>INDEX('Volume adjustments'!$J$615:$Y$655,AB$17 + 1 + $H49*$H$50, AB$15)</f>
        <v>0</v>
      </c>
      <c r="AC49" s="339">
        <f>INDEX('Volume adjustments'!$J$615:$Y$655,AC$17 + 1 + $H49*$H$50, AC$15)</f>
        <v>0</v>
      </c>
      <c r="AD49" s="339">
        <f>INDEX('Volume adjustments'!$J$615:$Y$655,AD$17 + 1 + $H49*$H$50, AD$15)</f>
        <v>0</v>
      </c>
      <c r="AE49" s="339">
        <f>INDEX('Volume adjustments'!$J$615:$Y$655,AE$17 + 1 + $H49*$H$50, AE$15)</f>
        <v>0</v>
      </c>
      <c r="AF49" s="339">
        <f>INDEX('Volume adjustments'!$J$615:$Y$655,AF$17 + 1 + $H49*$H$50, AF$15)</f>
        <v>0</v>
      </c>
      <c r="AG49" s="339">
        <f>INDEX('Volume adjustments'!$J$615:$Y$655,AG$17 + 1 + $H49*$H$50, AG$15)</f>
        <v>0</v>
      </c>
      <c r="AH49" s="339">
        <f>INDEX('Volume adjustments'!$J$615:$Y$655,AH$17 + 1 + $H49*$H$50, AH$15)</f>
        <v>0</v>
      </c>
      <c r="AI49" s="339">
        <f>INDEX('Volume adjustments'!$J$615:$Y$655,AI$17 + 1 + $H49*$H$50, AI$15)</f>
        <v>0</v>
      </c>
      <c r="AJ49" s="339">
        <f>INDEX('Volume adjustments'!$J$615:$Y$655,AJ$17 + 1 + $H49*$H$50, AJ$15)</f>
        <v>0</v>
      </c>
      <c r="AK49" s="339">
        <f>INDEX('Volume adjustments'!$J$615:$Y$655,AK$17 + 1 + $H49*$H$50, AK$15)</f>
        <v>0</v>
      </c>
      <c r="AL49" s="339">
        <f>INDEX('Volume adjustments'!$J$615:$Y$655,AL$17 + 1 + $H49*$H$50, AL$15)</f>
        <v>0</v>
      </c>
      <c r="AM49" s="339">
        <f>INDEX('Volume adjustments'!$J$615:$Y$655,AM$17 + 1 + $H49*$H$50, AM$15)</f>
        <v>0</v>
      </c>
      <c r="AN49" s="339">
        <f>INDEX('Volume adjustments'!$J$615:$Y$655,AN$17 + 1 + $H49*$H$50, AN$15)</f>
        <v>0</v>
      </c>
      <c r="AO49" s="339">
        <f>INDEX('Volume adjustments'!$J$615:$Y$655,AO$17 + 1 + $H49*$H$50, AO$15)</f>
        <v>0</v>
      </c>
    </row>
    <row r="50" spans="1:43" x14ac:dyDescent="0.35">
      <c r="A50" s="320"/>
      <c r="E50" s="28"/>
      <c r="F50" s="80" t="s">
        <v>253</v>
      </c>
      <c r="G50" s="80" t="s">
        <v>254</v>
      </c>
      <c r="H50" s="326">
        <v>6</v>
      </c>
      <c r="I50" s="37"/>
      <c r="J50" s="195">
        <f>INDEX('Volume adjustments'!$J$615:$Y$655,J$17 + 1 + $H50*$H$50, J$15)</f>
        <v>0</v>
      </c>
      <c r="K50" s="195">
        <f>INDEX('Volume adjustments'!$J$615:$Y$655,K$17 + 1 + $H50*$H$50, K$15)</f>
        <v>0</v>
      </c>
      <c r="L50" s="195">
        <f>INDEX('Volume adjustments'!$J$615:$Y$655,L$17 + 1 + $H50*$H$50, L$15)</f>
        <v>0</v>
      </c>
      <c r="M50" s="195">
        <f>INDEX('Volume adjustments'!$J$615:$Y$655,M$17 + 1 + $H50*$H$50, M$15)</f>
        <v>0</v>
      </c>
      <c r="N50" s="195">
        <f>INDEX('Volume adjustments'!$J$615:$Y$655,N$17 + 1 + $H50*$H$50, N$15)</f>
        <v>0</v>
      </c>
      <c r="O50" s="195">
        <f>INDEX('Volume adjustments'!$J$615:$Y$655,O$17 + 1 + $H50*$H$50, O$15)</f>
        <v>0</v>
      </c>
      <c r="P50" s="195">
        <f>INDEX('Volume adjustments'!$J$615:$Y$655,P$17 + 1 + $H50*$H$50, P$15)</f>
        <v>0</v>
      </c>
      <c r="Q50" s="195">
        <f>INDEX('Volume adjustments'!$J$615:$Y$655,Q$17 + 1 + $H50*$H$50, Q$15)</f>
        <v>0</v>
      </c>
      <c r="R50" s="195">
        <f>INDEX('Volume adjustments'!$J$615:$Y$655,R$17 + 1 + $H50*$H$50, R$15)</f>
        <v>0</v>
      </c>
      <c r="S50" s="195">
        <f>INDEX('Volume adjustments'!$J$615:$Y$655,S$17 + 1 + $H50*$H$50, S$15)</f>
        <v>108.1683492538001</v>
      </c>
      <c r="T50" s="195">
        <f>INDEX('Volume adjustments'!$J$615:$Y$655,T$17 + 1 + $H50*$H$50, T$15)</f>
        <v>111.12794861375262</v>
      </c>
      <c r="U50" s="195">
        <f>INDEX('Volume adjustments'!$J$615:$Y$655,U$17 + 1 + $H50*$H$50, U$15)</f>
        <v>84.025030969619266</v>
      </c>
      <c r="V50" s="195">
        <f>INDEX('Volume adjustments'!$J$615:$Y$655,V$17 + 1 + $H50*$H$50, V$15)</f>
        <v>228.7102665473366</v>
      </c>
      <c r="W50" s="195">
        <f>INDEX('Volume adjustments'!$J$615:$Y$655,W$17 + 1 + $H50*$H$50, W$15)</f>
        <v>0</v>
      </c>
      <c r="X50" s="195">
        <f>INDEX('Volume adjustments'!$J$615:$Y$655,X$17 + 1 + $H50*$H$50, X$15)</f>
        <v>2.1735384039216713E-2</v>
      </c>
      <c r="Y50" s="195">
        <f>INDEX('Volume adjustments'!$J$615:$Y$655,Y$17 + 1 + $H50*$H$50, Y$15)</f>
        <v>1.3331596111726428E-2</v>
      </c>
      <c r="Z50" s="195">
        <f>INDEX('Volume adjustments'!$J$615:$Y$655,Z$17 + 1 + $H50*$H$50, Z$15)</f>
        <v>3.9496622162638516E-2</v>
      </c>
      <c r="AA50" s="195">
        <f>INDEX('Volume adjustments'!$J$615:$Y$655,AA$17 + 1 + $H50*$H$50, AA$15)</f>
        <v>0.3084732455862943</v>
      </c>
      <c r="AB50" s="195">
        <f>INDEX('Volume adjustments'!$J$615:$Y$655,AB$17 + 1 + $H50*$H$50, AB$15)</f>
        <v>0</v>
      </c>
      <c r="AC50" s="195">
        <f>INDEX('Volume adjustments'!$J$615:$Y$655,AC$17 + 1 + $H50*$H$50, AC$15)</f>
        <v>0</v>
      </c>
      <c r="AD50" s="195">
        <f>INDEX('Volume adjustments'!$J$615:$Y$655,AD$17 + 1 + $H50*$H$50, AD$15)</f>
        <v>0</v>
      </c>
      <c r="AE50" s="195">
        <f>INDEX('Volume adjustments'!$J$615:$Y$655,AE$17 + 1 + $H50*$H$50, AE$15)</f>
        <v>0</v>
      </c>
      <c r="AF50" s="195">
        <f>INDEX('Volume adjustments'!$J$615:$Y$655,AF$17 + 1 + $H50*$H$50, AF$15)</f>
        <v>0</v>
      </c>
      <c r="AG50" s="195">
        <f>INDEX('Volume adjustments'!$J$615:$Y$655,AG$17 + 1 + $H50*$H$50, AG$15)</f>
        <v>0</v>
      </c>
      <c r="AH50" s="195">
        <f>INDEX('Volume adjustments'!$J$615:$Y$655,AH$17 + 1 + $H50*$H$50, AH$15)</f>
        <v>0</v>
      </c>
      <c r="AI50" s="195">
        <f>INDEX('Volume adjustments'!$J$615:$Y$655,AI$17 + 1 + $H50*$H$50, AI$15)</f>
        <v>0</v>
      </c>
      <c r="AJ50" s="195">
        <f>INDEX('Volume adjustments'!$J$615:$Y$655,AJ$17 + 1 + $H50*$H$50, AJ$15)</f>
        <v>0</v>
      </c>
      <c r="AK50" s="195">
        <f>INDEX('Volume adjustments'!$J$615:$Y$655,AK$17 + 1 + $H50*$H$50, AK$15)</f>
        <v>0</v>
      </c>
      <c r="AL50" s="195">
        <f>INDEX('Volume adjustments'!$J$615:$Y$655,AL$17 + 1 + $H50*$H$50, AL$15)</f>
        <v>0</v>
      </c>
      <c r="AM50" s="195">
        <f>INDEX('Volume adjustments'!$J$615:$Y$655,AM$17 + 1 + $H50*$H$50, AM$15)</f>
        <v>0</v>
      </c>
      <c r="AN50" s="195">
        <f>INDEX('Volume adjustments'!$J$615:$Y$655,AN$17 + 1 + $H50*$H$50, AN$15)</f>
        <v>0</v>
      </c>
      <c r="AO50" s="195">
        <f>INDEX('Volume adjustments'!$J$615:$Y$655,AO$17 + 1 + $H50*$H$50, AO$15)</f>
        <v>0</v>
      </c>
    </row>
    <row r="51" spans="1:43" x14ac:dyDescent="0.35">
      <c r="A51" s="320"/>
      <c r="E51" s="28"/>
      <c r="G51" s="13"/>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3" x14ac:dyDescent="0.35">
      <c r="C52" s="31" t="str">
        <f ca="1">INDEX('Version control'!$H$34:$H$57,MATCH($A$1,'Version control'!$F$34:$F$57,0),1)&amp;"-B: Tariff forecast"</f>
        <v>Section 118-B: Tariff forecast</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31"/>
      <c r="AQ52" s="31"/>
    </row>
    <row r="53" spans="1:43" x14ac:dyDescent="0.35">
      <c r="D53" s="32"/>
      <c r="E53" s="28"/>
      <c r="G53" s="13"/>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row>
    <row r="54" spans="1:43" x14ac:dyDescent="0.35">
      <c r="E54" s="32" t="s">
        <v>759</v>
      </c>
      <c r="G54" s="13"/>
      <c r="I54" t="s">
        <v>154</v>
      </c>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Q54" t="s">
        <v>155</v>
      </c>
    </row>
    <row r="55" spans="1:43" x14ac:dyDescent="0.35">
      <c r="F55" s="23" t="s">
        <v>156</v>
      </c>
      <c r="G55" s="85" t="s">
        <v>269</v>
      </c>
      <c r="H55" s="278"/>
      <c r="I55" s="266"/>
      <c r="J55" s="278">
        <f>Rounding!J150</f>
        <v>8.7579999999999991</v>
      </c>
      <c r="K55" s="278">
        <f>Rounding!K150</f>
        <v>8.7579999999999991</v>
      </c>
      <c r="L55" s="278">
        <f>Rounding!L150</f>
        <v>10.050000000000001</v>
      </c>
      <c r="M55" s="278">
        <f>Rounding!M150</f>
        <v>10.050000000000001</v>
      </c>
      <c r="N55" s="278">
        <f>Rounding!N150</f>
        <v>10.050000000000001</v>
      </c>
      <c r="O55" s="278">
        <f>Rounding!O150</f>
        <v>10.050000000000001</v>
      </c>
      <c r="P55" s="278">
        <f>Rounding!P150</f>
        <v>10.050000000000001</v>
      </c>
      <c r="Q55" s="278">
        <f>Rounding!Q150</f>
        <v>10.050000000000001</v>
      </c>
      <c r="R55" s="278">
        <f>Rounding!R150</f>
        <v>7.2439999999999998</v>
      </c>
      <c r="S55" s="278">
        <f>Rounding!S150</f>
        <v>7.2439999999999998</v>
      </c>
      <c r="T55" s="278">
        <f>Rounding!T150</f>
        <v>7.2439999999999998</v>
      </c>
      <c r="U55" s="278">
        <f>Rounding!U150</f>
        <v>7.2439999999999998</v>
      </c>
      <c r="V55" s="278">
        <f>Rounding!V150</f>
        <v>7.2439999999999998</v>
      </c>
      <c r="W55" s="278">
        <f>Rounding!W150</f>
        <v>3.7450000000000001</v>
      </c>
      <c r="X55" s="278">
        <f>Rounding!X150</f>
        <v>3.7450000000000001</v>
      </c>
      <c r="Y55" s="278">
        <f>Rounding!Y150</f>
        <v>3.7450000000000001</v>
      </c>
      <c r="Z55" s="278">
        <f>Rounding!Z150</f>
        <v>3.7450000000000001</v>
      </c>
      <c r="AA55" s="278">
        <f>Rounding!AA150</f>
        <v>3.7450000000000001</v>
      </c>
      <c r="AB55" s="278">
        <f>Rounding!AB150</f>
        <v>2.62</v>
      </c>
      <c r="AC55" s="278">
        <f>Rounding!AC150</f>
        <v>2.62</v>
      </c>
      <c r="AD55" s="278">
        <f>Rounding!AD150</f>
        <v>2.62</v>
      </c>
      <c r="AE55" s="278">
        <f>Rounding!AE150</f>
        <v>2.62</v>
      </c>
      <c r="AF55" s="278">
        <f>Rounding!AF150</f>
        <v>2.62</v>
      </c>
      <c r="AG55" s="278">
        <f>Rounding!AG150</f>
        <v>17.414000000000001</v>
      </c>
      <c r="AH55" s="278">
        <f>Rounding!AH150</f>
        <v>-6.77</v>
      </c>
      <c r="AI55" s="278">
        <f>Rounding!AI150</f>
        <v>-6.0629999999999997</v>
      </c>
      <c r="AJ55" s="278">
        <f>Rounding!AJ150</f>
        <v>-6.77</v>
      </c>
      <c r="AK55" s="278">
        <f>Rounding!AK150</f>
        <v>-6.77</v>
      </c>
      <c r="AL55" s="278">
        <f>Rounding!AL150</f>
        <v>-6.0629999999999997</v>
      </c>
      <c r="AM55" s="278">
        <f>Rounding!AM150</f>
        <v>-6.0629999999999997</v>
      </c>
      <c r="AN55" s="278">
        <f>Rounding!AN150</f>
        <v>-3.399</v>
      </c>
      <c r="AO55" s="278">
        <f>Rounding!AO150</f>
        <v>-3.399</v>
      </c>
      <c r="AP55" s="267"/>
      <c r="AQ55" s="267"/>
    </row>
    <row r="56" spans="1:43" x14ac:dyDescent="0.35">
      <c r="E56" s="28"/>
      <c r="F56" t="s">
        <v>157</v>
      </c>
      <c r="G56" s="13" t="s">
        <v>269</v>
      </c>
      <c r="H56" s="279"/>
      <c r="I56" s="267"/>
      <c r="J56" s="279">
        <f>Rounding!J151</f>
        <v>1.821</v>
      </c>
      <c r="K56" s="279">
        <f>Rounding!K151</f>
        <v>1.821</v>
      </c>
      <c r="L56" s="279">
        <f>Rounding!L151</f>
        <v>2.089</v>
      </c>
      <c r="M56" s="279">
        <f>Rounding!M151</f>
        <v>2.089</v>
      </c>
      <c r="N56" s="279">
        <f>Rounding!N151</f>
        <v>2.089</v>
      </c>
      <c r="O56" s="279">
        <f>Rounding!O151</f>
        <v>2.089</v>
      </c>
      <c r="P56" s="279">
        <f>Rounding!P151</f>
        <v>2.089</v>
      </c>
      <c r="Q56" s="279">
        <f>Rounding!Q151</f>
        <v>2.089</v>
      </c>
      <c r="R56" s="279">
        <f>Rounding!R151</f>
        <v>1.466</v>
      </c>
      <c r="S56" s="279">
        <f>Rounding!S151</f>
        <v>1.466</v>
      </c>
      <c r="T56" s="279">
        <f>Rounding!T151</f>
        <v>1.466</v>
      </c>
      <c r="U56" s="279">
        <f>Rounding!U151</f>
        <v>1.466</v>
      </c>
      <c r="V56" s="279">
        <f>Rounding!V151</f>
        <v>1.466</v>
      </c>
      <c r="W56" s="279">
        <f>Rounding!W151</f>
        <v>0.67800000000000005</v>
      </c>
      <c r="X56" s="279">
        <f>Rounding!X151</f>
        <v>0.67800000000000005</v>
      </c>
      <c r="Y56" s="279">
        <f>Rounding!Y151</f>
        <v>0.67800000000000005</v>
      </c>
      <c r="Z56" s="279">
        <f>Rounding!Z151</f>
        <v>0.67800000000000005</v>
      </c>
      <c r="AA56" s="279">
        <f>Rounding!AA151</f>
        <v>0.67800000000000005</v>
      </c>
      <c r="AB56" s="279">
        <f>Rounding!AB151</f>
        <v>0.45500000000000002</v>
      </c>
      <c r="AC56" s="279">
        <f>Rounding!AC151</f>
        <v>0.45500000000000002</v>
      </c>
      <c r="AD56" s="279">
        <f>Rounding!AD151</f>
        <v>0.45500000000000002</v>
      </c>
      <c r="AE56" s="279">
        <f>Rounding!AE151</f>
        <v>0.45500000000000002</v>
      </c>
      <c r="AF56" s="279">
        <f>Rounding!AF151</f>
        <v>0.45500000000000002</v>
      </c>
      <c r="AG56" s="279">
        <f>Rounding!AG151</f>
        <v>4.8899999999999997</v>
      </c>
      <c r="AH56" s="279">
        <f>Rounding!AH151</f>
        <v>-1.407</v>
      </c>
      <c r="AI56" s="279">
        <f>Rounding!AI151</f>
        <v>-1.246</v>
      </c>
      <c r="AJ56" s="279">
        <f>Rounding!AJ151</f>
        <v>-1.407</v>
      </c>
      <c r="AK56" s="279">
        <f>Rounding!AK151</f>
        <v>-1.407</v>
      </c>
      <c r="AL56" s="279">
        <f>Rounding!AL151</f>
        <v>-1.246</v>
      </c>
      <c r="AM56" s="279">
        <f>Rounding!AM151</f>
        <v>-1.246</v>
      </c>
      <c r="AN56" s="279">
        <f>Rounding!AN151</f>
        <v>-0.61499999999999999</v>
      </c>
      <c r="AO56" s="279">
        <f>Rounding!AO151</f>
        <v>-0.61499999999999999</v>
      </c>
      <c r="AP56" s="267"/>
      <c r="AQ56" s="267"/>
    </row>
    <row r="57" spans="1:43" x14ac:dyDescent="0.35">
      <c r="E57" s="28"/>
      <c r="F57" t="s">
        <v>158</v>
      </c>
      <c r="G57" s="13" t="s">
        <v>269</v>
      </c>
      <c r="H57" s="279"/>
      <c r="I57" s="267"/>
      <c r="J57" s="279">
        <f>Rounding!J152</f>
        <v>0.63400000000000001</v>
      </c>
      <c r="K57" s="279">
        <f>Rounding!K152</f>
        <v>0.63400000000000001</v>
      </c>
      <c r="L57" s="279">
        <f>Rounding!L152</f>
        <v>0.72699999999999998</v>
      </c>
      <c r="M57" s="279">
        <f>Rounding!M152</f>
        <v>0.72699999999999998</v>
      </c>
      <c r="N57" s="279">
        <f>Rounding!N152</f>
        <v>0.72699999999999998</v>
      </c>
      <c r="O57" s="279">
        <f>Rounding!O152</f>
        <v>0.72699999999999998</v>
      </c>
      <c r="P57" s="279">
        <f>Rounding!P152</f>
        <v>0.72699999999999998</v>
      </c>
      <c r="Q57" s="279">
        <f>Rounding!Q152</f>
        <v>0.72699999999999998</v>
      </c>
      <c r="R57" s="279">
        <f>Rounding!R152</f>
        <v>0.51400000000000001</v>
      </c>
      <c r="S57" s="279">
        <f>Rounding!S152</f>
        <v>0.51400000000000001</v>
      </c>
      <c r="T57" s="279">
        <f>Rounding!T152</f>
        <v>0.51400000000000001</v>
      </c>
      <c r="U57" s="279">
        <f>Rounding!U152</f>
        <v>0.51400000000000001</v>
      </c>
      <c r="V57" s="279">
        <f>Rounding!V152</f>
        <v>0.51400000000000001</v>
      </c>
      <c r="W57" s="279">
        <f>Rounding!W152</f>
        <v>0.246</v>
      </c>
      <c r="X57" s="279">
        <f>Rounding!X152</f>
        <v>0.246</v>
      </c>
      <c r="Y57" s="279">
        <f>Rounding!Y152</f>
        <v>0.246</v>
      </c>
      <c r="Z57" s="279">
        <f>Rounding!Z152</f>
        <v>0.246</v>
      </c>
      <c r="AA57" s="279">
        <f>Rounding!AA152</f>
        <v>0.246</v>
      </c>
      <c r="AB57" s="279">
        <f>Rounding!AB152</f>
        <v>0.17599999999999999</v>
      </c>
      <c r="AC57" s="279">
        <f>Rounding!AC152</f>
        <v>0.17599999999999999</v>
      </c>
      <c r="AD57" s="279">
        <f>Rounding!AD152</f>
        <v>0.17599999999999999</v>
      </c>
      <c r="AE57" s="279">
        <f>Rounding!AE152</f>
        <v>0.17599999999999999</v>
      </c>
      <c r="AF57" s="279">
        <f>Rounding!AF152</f>
        <v>0.17599999999999999</v>
      </c>
      <c r="AG57" s="279">
        <f>Rounding!AG152</f>
        <v>3.923</v>
      </c>
      <c r="AH57" s="279">
        <f>Rounding!AH152</f>
        <v>-0.49</v>
      </c>
      <c r="AI57" s="279">
        <f>Rounding!AI152</f>
        <v>-0.435</v>
      </c>
      <c r="AJ57" s="279">
        <f>Rounding!AJ152</f>
        <v>-0.49</v>
      </c>
      <c r="AK57" s="279">
        <f>Rounding!AK152</f>
        <v>-0.49</v>
      </c>
      <c r="AL57" s="279">
        <f>Rounding!AL152</f>
        <v>-0.435</v>
      </c>
      <c r="AM57" s="279">
        <f>Rounding!AM152</f>
        <v>-0.435</v>
      </c>
      <c r="AN57" s="279">
        <f>Rounding!AN152</f>
        <v>-0.224</v>
      </c>
      <c r="AO57" s="279">
        <f>Rounding!AO152</f>
        <v>-0.224</v>
      </c>
      <c r="AP57" s="267"/>
      <c r="AQ57" s="267"/>
    </row>
    <row r="58" spans="1:43" x14ac:dyDescent="0.35">
      <c r="E58" s="28"/>
      <c r="F58" t="s">
        <v>159</v>
      </c>
      <c r="G58" s="13" t="s">
        <v>270</v>
      </c>
      <c r="H58" s="51"/>
      <c r="J58" s="120">
        <f>Rounding!J153</f>
        <v>27.51</v>
      </c>
      <c r="K58" s="120">
        <f>Rounding!K153</f>
        <v>0</v>
      </c>
      <c r="L58" s="120">
        <f>Rounding!L153</f>
        <v>10.37</v>
      </c>
      <c r="M58" s="120">
        <f>Rounding!M153</f>
        <v>13.38</v>
      </c>
      <c r="N58" s="120">
        <f>Rounding!N153</f>
        <v>28.17</v>
      </c>
      <c r="O58" s="120">
        <f>Rounding!O153</f>
        <v>54.3</v>
      </c>
      <c r="P58" s="120">
        <f>Rounding!P153</f>
        <v>154.1</v>
      </c>
      <c r="Q58" s="120">
        <f>Rounding!Q153</f>
        <v>0</v>
      </c>
      <c r="R58" s="120">
        <f>Rounding!R153</f>
        <v>27.17</v>
      </c>
      <c r="S58" s="120">
        <f>Rounding!S153</f>
        <v>253.33</v>
      </c>
      <c r="T58" s="120">
        <f>Rounding!T153</f>
        <v>453.03</v>
      </c>
      <c r="U58" s="120">
        <f>Rounding!U153</f>
        <v>736.93</v>
      </c>
      <c r="V58" s="120">
        <f>Rounding!V153</f>
        <v>1686.66</v>
      </c>
      <c r="W58" s="120">
        <f>Rounding!W153</f>
        <v>63.83</v>
      </c>
      <c r="X58" s="120">
        <f>Rounding!X153</f>
        <v>289.99</v>
      </c>
      <c r="Y58" s="120">
        <f>Rounding!Y153</f>
        <v>489.68</v>
      </c>
      <c r="Z58" s="120">
        <f>Rounding!Z153</f>
        <v>773.58</v>
      </c>
      <c r="AA58" s="120">
        <f>Rounding!AA153</f>
        <v>1723.31</v>
      </c>
      <c r="AB58" s="120">
        <f>Rounding!AB153</f>
        <v>322.11</v>
      </c>
      <c r="AC58" s="120">
        <f>Rounding!AC153</f>
        <v>741.62</v>
      </c>
      <c r="AD58" s="120">
        <f>Rounding!AD153</f>
        <v>3586.67</v>
      </c>
      <c r="AE58" s="120">
        <f>Rounding!AE153</f>
        <v>7343.92</v>
      </c>
      <c r="AF58" s="120">
        <f>Rounding!AF153</f>
        <v>15742.67</v>
      </c>
      <c r="AG58" s="120">
        <f>Rounding!AG153</f>
        <v>0</v>
      </c>
      <c r="AH58" s="120">
        <f>Rounding!AH153</f>
        <v>0</v>
      </c>
      <c r="AI58" s="120">
        <f>Rounding!AI153</f>
        <v>0</v>
      </c>
      <c r="AJ58" s="120">
        <f>Rounding!AJ153</f>
        <v>0</v>
      </c>
      <c r="AK58" s="120">
        <f>Rounding!AK153</f>
        <v>0</v>
      </c>
      <c r="AL58" s="120">
        <f>Rounding!AL153</f>
        <v>0</v>
      </c>
      <c r="AM58" s="120">
        <f>Rounding!AM153</f>
        <v>0</v>
      </c>
      <c r="AN58" s="120">
        <f>Rounding!AN153</f>
        <v>526.70000000000005</v>
      </c>
      <c r="AO58" s="120">
        <f>Rounding!AO153</f>
        <v>526.70000000000005</v>
      </c>
    </row>
    <row r="59" spans="1:43" x14ac:dyDescent="0.35">
      <c r="E59" s="28"/>
      <c r="F59" t="s">
        <v>160</v>
      </c>
      <c r="G59" s="13" t="s">
        <v>271</v>
      </c>
      <c r="H59" s="51"/>
      <c r="J59" s="120">
        <f>Rounding!J154</f>
        <v>0</v>
      </c>
      <c r="K59" s="120">
        <f>Rounding!K154</f>
        <v>0</v>
      </c>
      <c r="L59" s="120">
        <f>Rounding!L154</f>
        <v>0</v>
      </c>
      <c r="M59" s="120">
        <f>Rounding!M154</f>
        <v>0</v>
      </c>
      <c r="N59" s="120">
        <f>Rounding!N154</f>
        <v>0</v>
      </c>
      <c r="O59" s="120">
        <f>Rounding!O154</f>
        <v>0</v>
      </c>
      <c r="P59" s="120">
        <f>Rounding!P154</f>
        <v>0</v>
      </c>
      <c r="Q59" s="120">
        <f>Rounding!Q154</f>
        <v>0</v>
      </c>
      <c r="R59" s="120">
        <f>Rounding!R154</f>
        <v>5.45</v>
      </c>
      <c r="S59" s="120">
        <f>Rounding!S154</f>
        <v>5.45</v>
      </c>
      <c r="T59" s="120">
        <f>Rounding!T154</f>
        <v>5.45</v>
      </c>
      <c r="U59" s="120">
        <f>Rounding!U154</f>
        <v>5.45</v>
      </c>
      <c r="V59" s="120">
        <f>Rounding!V154</f>
        <v>5.45</v>
      </c>
      <c r="W59" s="120">
        <f>Rounding!W154</f>
        <v>8.6300000000000008</v>
      </c>
      <c r="X59" s="120">
        <f>Rounding!X154</f>
        <v>8.6300000000000008</v>
      </c>
      <c r="Y59" s="120">
        <f>Rounding!Y154</f>
        <v>8.6300000000000008</v>
      </c>
      <c r="Z59" s="120">
        <f>Rounding!Z154</f>
        <v>8.6300000000000008</v>
      </c>
      <c r="AA59" s="120">
        <f>Rounding!AA154</f>
        <v>8.6300000000000008</v>
      </c>
      <c r="AB59" s="120">
        <f>Rounding!AB154</f>
        <v>11.66</v>
      </c>
      <c r="AC59" s="120">
        <f>Rounding!AC154</f>
        <v>11.66</v>
      </c>
      <c r="AD59" s="120">
        <f>Rounding!AD154</f>
        <v>11.66</v>
      </c>
      <c r="AE59" s="120">
        <f>Rounding!AE154</f>
        <v>11.66</v>
      </c>
      <c r="AF59" s="120">
        <f>Rounding!AF154</f>
        <v>11.66</v>
      </c>
      <c r="AG59" s="120">
        <f>Rounding!AG154</f>
        <v>0</v>
      </c>
      <c r="AH59" s="120">
        <f>Rounding!AH154</f>
        <v>0</v>
      </c>
      <c r="AI59" s="120">
        <f>Rounding!AI154</f>
        <v>0</v>
      </c>
      <c r="AJ59" s="120">
        <f>Rounding!AJ154</f>
        <v>0</v>
      </c>
      <c r="AK59" s="120">
        <f>Rounding!AK154</f>
        <v>0</v>
      </c>
      <c r="AL59" s="120">
        <f>Rounding!AL154</f>
        <v>0</v>
      </c>
      <c r="AM59" s="120">
        <f>Rounding!AM154</f>
        <v>0</v>
      </c>
      <c r="AN59" s="120">
        <f>Rounding!AN154</f>
        <v>0</v>
      </c>
      <c r="AO59" s="120">
        <f>Rounding!AO154</f>
        <v>0</v>
      </c>
    </row>
    <row r="60" spans="1:43" x14ac:dyDescent="0.35">
      <c r="E60" s="28"/>
      <c r="F60" t="s">
        <v>161</v>
      </c>
      <c r="G60" s="13" t="s">
        <v>271</v>
      </c>
      <c r="H60" s="51"/>
      <c r="J60" s="120">
        <f>Rounding!J155</f>
        <v>0</v>
      </c>
      <c r="K60" s="120">
        <f>Rounding!K155</f>
        <v>0</v>
      </c>
      <c r="L60" s="120">
        <f>Rounding!L155</f>
        <v>0</v>
      </c>
      <c r="M60" s="120">
        <f>Rounding!M155</f>
        <v>0</v>
      </c>
      <c r="N60" s="120">
        <f>Rounding!N155</f>
        <v>0</v>
      </c>
      <c r="O60" s="120">
        <f>Rounding!O155</f>
        <v>0</v>
      </c>
      <c r="P60" s="120">
        <f>Rounding!P155</f>
        <v>0</v>
      </c>
      <c r="Q60" s="120">
        <f>Rounding!Q155</f>
        <v>0</v>
      </c>
      <c r="R60" s="120">
        <f>Rounding!R155</f>
        <v>9.52</v>
      </c>
      <c r="S60" s="120">
        <f>Rounding!S155</f>
        <v>9.52</v>
      </c>
      <c r="T60" s="120">
        <f>Rounding!T155</f>
        <v>9.52</v>
      </c>
      <c r="U60" s="120">
        <f>Rounding!U155</f>
        <v>9.52</v>
      </c>
      <c r="V60" s="120">
        <f>Rounding!V155</f>
        <v>9.52</v>
      </c>
      <c r="W60" s="120">
        <f>Rounding!W155</f>
        <v>11.68</v>
      </c>
      <c r="X60" s="120">
        <f>Rounding!X155</f>
        <v>11.68</v>
      </c>
      <c r="Y60" s="120">
        <f>Rounding!Y155</f>
        <v>11.68</v>
      </c>
      <c r="Z60" s="120">
        <f>Rounding!Z155</f>
        <v>11.68</v>
      </c>
      <c r="AA60" s="120">
        <f>Rounding!AA155</f>
        <v>11.68</v>
      </c>
      <c r="AB60" s="120">
        <f>Rounding!AB155</f>
        <v>13.57</v>
      </c>
      <c r="AC60" s="120">
        <f>Rounding!AC155</f>
        <v>13.57</v>
      </c>
      <c r="AD60" s="120">
        <f>Rounding!AD155</f>
        <v>13.57</v>
      </c>
      <c r="AE60" s="120">
        <f>Rounding!AE155</f>
        <v>13.57</v>
      </c>
      <c r="AF60" s="120">
        <f>Rounding!AF155</f>
        <v>13.57</v>
      </c>
      <c r="AG60" s="120">
        <f>Rounding!AG155</f>
        <v>0</v>
      </c>
      <c r="AH60" s="120">
        <f>Rounding!AH155</f>
        <v>0</v>
      </c>
      <c r="AI60" s="120">
        <f>Rounding!AI155</f>
        <v>0</v>
      </c>
      <c r="AJ60" s="120">
        <f>Rounding!AJ155</f>
        <v>0</v>
      </c>
      <c r="AK60" s="120">
        <f>Rounding!AK155</f>
        <v>0</v>
      </c>
      <c r="AL60" s="120">
        <f>Rounding!AL155</f>
        <v>0</v>
      </c>
      <c r="AM60" s="120">
        <f>Rounding!AM155</f>
        <v>0</v>
      </c>
      <c r="AN60" s="120">
        <f>Rounding!AN155</f>
        <v>0</v>
      </c>
      <c r="AO60" s="120">
        <f>Rounding!AO155</f>
        <v>0</v>
      </c>
    </row>
    <row r="61" spans="1:43" x14ac:dyDescent="0.35">
      <c r="E61" s="28"/>
      <c r="F61" s="37" t="s">
        <v>162</v>
      </c>
      <c r="G61" s="86" t="s">
        <v>272</v>
      </c>
      <c r="H61" s="283"/>
      <c r="I61" s="269"/>
      <c r="J61" s="283">
        <f>Rounding!J156</f>
        <v>0</v>
      </c>
      <c r="K61" s="283">
        <f>Rounding!K156</f>
        <v>0</v>
      </c>
      <c r="L61" s="283">
        <f>Rounding!L156</f>
        <v>0</v>
      </c>
      <c r="M61" s="283">
        <f>Rounding!M156</f>
        <v>0</v>
      </c>
      <c r="N61" s="283">
        <f>Rounding!N156</f>
        <v>0</v>
      </c>
      <c r="O61" s="283">
        <f>Rounding!O156</f>
        <v>0</v>
      </c>
      <c r="P61" s="283">
        <f>Rounding!P156</f>
        <v>0</v>
      </c>
      <c r="Q61" s="283">
        <f>Rounding!Q156</f>
        <v>0</v>
      </c>
      <c r="R61" s="283">
        <f>Rounding!R156</f>
        <v>0.28999999999999998</v>
      </c>
      <c r="S61" s="283">
        <f>Rounding!S156</f>
        <v>0.28999999999999998</v>
      </c>
      <c r="T61" s="283">
        <f>Rounding!T156</f>
        <v>0.28999999999999998</v>
      </c>
      <c r="U61" s="283">
        <f>Rounding!U156</f>
        <v>0.28999999999999998</v>
      </c>
      <c r="V61" s="283">
        <f>Rounding!V156</f>
        <v>0.28999999999999998</v>
      </c>
      <c r="W61" s="283">
        <f>Rounding!W156</f>
        <v>0.13700000000000001</v>
      </c>
      <c r="X61" s="283">
        <f>Rounding!X156</f>
        <v>0.13700000000000001</v>
      </c>
      <c r="Y61" s="283">
        <f>Rounding!Y156</f>
        <v>0.13700000000000001</v>
      </c>
      <c r="Z61" s="283">
        <f>Rounding!Z156</f>
        <v>0.13700000000000001</v>
      </c>
      <c r="AA61" s="283">
        <f>Rounding!AA156</f>
        <v>0.13700000000000001</v>
      </c>
      <c r="AB61" s="283">
        <f>Rounding!AB156</f>
        <v>9.2999999999999999E-2</v>
      </c>
      <c r="AC61" s="283">
        <f>Rounding!AC156</f>
        <v>9.2999999999999999E-2</v>
      </c>
      <c r="AD61" s="283">
        <f>Rounding!AD156</f>
        <v>9.2999999999999999E-2</v>
      </c>
      <c r="AE61" s="283">
        <f>Rounding!AE156</f>
        <v>9.2999999999999999E-2</v>
      </c>
      <c r="AF61" s="283">
        <f>Rounding!AF156</f>
        <v>9.2999999999999999E-2</v>
      </c>
      <c r="AG61" s="283">
        <f>Rounding!AG156</f>
        <v>0</v>
      </c>
      <c r="AH61" s="283">
        <f>Rounding!AH156</f>
        <v>0</v>
      </c>
      <c r="AI61" s="283">
        <f>Rounding!AI156</f>
        <v>0</v>
      </c>
      <c r="AJ61" s="283">
        <f>Rounding!AJ156</f>
        <v>0.28399999999999997</v>
      </c>
      <c r="AK61" s="283">
        <f>Rounding!AK156</f>
        <v>0</v>
      </c>
      <c r="AL61" s="283">
        <f>Rounding!AL156</f>
        <v>0.23799999999999999</v>
      </c>
      <c r="AM61" s="283">
        <f>Rounding!AM156</f>
        <v>0</v>
      </c>
      <c r="AN61" s="283">
        <f>Rounding!AN156</f>
        <v>0.216</v>
      </c>
      <c r="AO61" s="283">
        <f>Rounding!AO156</f>
        <v>0</v>
      </c>
      <c r="AP61" s="267"/>
      <c r="AQ61" s="267"/>
    </row>
    <row r="62" spans="1:43" x14ac:dyDescent="0.35">
      <c r="E62" s="28"/>
      <c r="G62" s="13"/>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row>
    <row r="63" spans="1:43" x14ac:dyDescent="0.35">
      <c r="E63" s="32" t="s">
        <v>760</v>
      </c>
      <c r="G63" s="13"/>
      <c r="I63" t="s">
        <v>154</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Q63" t="s">
        <v>155</v>
      </c>
    </row>
    <row r="64" spans="1:43" x14ac:dyDescent="0.35">
      <c r="F64" s="23" t="s">
        <v>156</v>
      </c>
      <c r="G64" s="85" t="s">
        <v>269</v>
      </c>
      <c r="H64" s="278"/>
      <c r="I64" s="266"/>
      <c r="J64" s="278">
        <f>Rounding!J159</f>
        <v>6.1859999999999999</v>
      </c>
      <c r="K64" s="278">
        <f>Rounding!K159</f>
        <v>6.1859999999999999</v>
      </c>
      <c r="L64" s="278">
        <f>Rounding!L159</f>
        <v>7.0979999999999999</v>
      </c>
      <c r="M64" s="278">
        <f>Rounding!M159</f>
        <v>7.0979999999999999</v>
      </c>
      <c r="N64" s="278">
        <f>Rounding!N159</f>
        <v>7.0979999999999999</v>
      </c>
      <c r="O64" s="278">
        <f>Rounding!O159</f>
        <v>7.0979999999999999</v>
      </c>
      <c r="P64" s="278">
        <f>Rounding!P159</f>
        <v>7.0979999999999999</v>
      </c>
      <c r="Q64" s="278">
        <f>Rounding!Q159</f>
        <v>7.0979999999999999</v>
      </c>
      <c r="R64" s="278">
        <f>Rounding!R159</f>
        <v>5.1159999999999997</v>
      </c>
      <c r="S64" s="278">
        <f>Rounding!S159</f>
        <v>5.1159999999999997</v>
      </c>
      <c r="T64" s="278">
        <f>Rounding!T159</f>
        <v>5.1159999999999997</v>
      </c>
      <c r="U64" s="278">
        <f>Rounding!U159</f>
        <v>5.1159999999999997</v>
      </c>
      <c r="V64" s="278">
        <f>Rounding!V159</f>
        <v>5.1159999999999997</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12.298999999999999</v>
      </c>
      <c r="AH64" s="278">
        <f>Rounding!AH159</f>
        <v>-6.77</v>
      </c>
      <c r="AI64" s="278">
        <f>Rounding!AI159</f>
        <v>0</v>
      </c>
      <c r="AJ64" s="278">
        <f>Rounding!AJ159</f>
        <v>-6.77</v>
      </c>
      <c r="AK64" s="278">
        <f>Rounding!AK159</f>
        <v>0</v>
      </c>
      <c r="AL64" s="278">
        <f>Rounding!AL159</f>
        <v>0</v>
      </c>
      <c r="AM64" s="278">
        <f>Rounding!AM159</f>
        <v>0</v>
      </c>
      <c r="AN64" s="278">
        <f>Rounding!AN159</f>
        <v>0</v>
      </c>
      <c r="AO64" s="278">
        <f>Rounding!AO159</f>
        <v>0</v>
      </c>
      <c r="AP64" s="267"/>
      <c r="AQ64" s="267"/>
    </row>
    <row r="65" spans="3:43" x14ac:dyDescent="0.35">
      <c r="E65" s="28"/>
      <c r="F65" t="s">
        <v>157</v>
      </c>
      <c r="G65" s="13" t="s">
        <v>269</v>
      </c>
      <c r="H65" s="279"/>
      <c r="I65" s="267"/>
      <c r="J65" s="279">
        <f>Rounding!J160</f>
        <v>1.286</v>
      </c>
      <c r="K65" s="279">
        <f>Rounding!K160</f>
        <v>1.286</v>
      </c>
      <c r="L65" s="279">
        <f>Rounding!L160</f>
        <v>1.476</v>
      </c>
      <c r="M65" s="279">
        <f>Rounding!M160</f>
        <v>1.476</v>
      </c>
      <c r="N65" s="279">
        <f>Rounding!N160</f>
        <v>1.476</v>
      </c>
      <c r="O65" s="279">
        <f>Rounding!O160</f>
        <v>1.476</v>
      </c>
      <c r="P65" s="279">
        <f>Rounding!P160</f>
        <v>1.476</v>
      </c>
      <c r="Q65" s="279">
        <f>Rounding!Q160</f>
        <v>1.476</v>
      </c>
      <c r="R65" s="279">
        <f>Rounding!R160</f>
        <v>1.036</v>
      </c>
      <c r="S65" s="279">
        <f>Rounding!S160</f>
        <v>1.036</v>
      </c>
      <c r="T65" s="279">
        <f>Rounding!T160</f>
        <v>1.036</v>
      </c>
      <c r="U65" s="279">
        <f>Rounding!U160</f>
        <v>1.036</v>
      </c>
      <c r="V65" s="279">
        <f>Rounding!V160</f>
        <v>1.036</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3.4540000000000002</v>
      </c>
      <c r="AH65" s="279">
        <f>Rounding!AH160</f>
        <v>-1.407</v>
      </c>
      <c r="AI65" s="279">
        <f>Rounding!AI160</f>
        <v>0</v>
      </c>
      <c r="AJ65" s="279">
        <f>Rounding!AJ160</f>
        <v>-1.407</v>
      </c>
      <c r="AK65" s="279">
        <f>Rounding!AK160</f>
        <v>0</v>
      </c>
      <c r="AL65" s="279">
        <f>Rounding!AL160</f>
        <v>0</v>
      </c>
      <c r="AM65" s="279">
        <f>Rounding!AM160</f>
        <v>0</v>
      </c>
      <c r="AN65" s="279">
        <f>Rounding!AN160</f>
        <v>0</v>
      </c>
      <c r="AO65" s="279">
        <f>Rounding!AO160</f>
        <v>0</v>
      </c>
      <c r="AP65" s="267"/>
      <c r="AQ65" s="267"/>
    </row>
    <row r="66" spans="3:43" x14ac:dyDescent="0.35">
      <c r="E66" s="28"/>
      <c r="F66" t="s">
        <v>158</v>
      </c>
      <c r="G66" s="13" t="s">
        <v>269</v>
      </c>
      <c r="H66" s="279"/>
      <c r="I66" s="267"/>
      <c r="J66" s="279">
        <f>Rounding!J161</f>
        <v>0.44800000000000001</v>
      </c>
      <c r="K66" s="279">
        <f>Rounding!K161</f>
        <v>0.44800000000000001</v>
      </c>
      <c r="L66" s="279">
        <f>Rounding!L161</f>
        <v>0.51400000000000001</v>
      </c>
      <c r="M66" s="279">
        <f>Rounding!M161</f>
        <v>0.51400000000000001</v>
      </c>
      <c r="N66" s="279">
        <f>Rounding!N161</f>
        <v>0.51400000000000001</v>
      </c>
      <c r="O66" s="279">
        <f>Rounding!O161</f>
        <v>0.51400000000000001</v>
      </c>
      <c r="P66" s="279">
        <f>Rounding!P161</f>
        <v>0.51400000000000001</v>
      </c>
      <c r="Q66" s="279">
        <f>Rounding!Q161</f>
        <v>0.51400000000000001</v>
      </c>
      <c r="R66" s="279">
        <f>Rounding!R161</f>
        <v>0.36299999999999999</v>
      </c>
      <c r="S66" s="279">
        <f>Rounding!S161</f>
        <v>0.36299999999999999</v>
      </c>
      <c r="T66" s="279">
        <f>Rounding!T161</f>
        <v>0.36299999999999999</v>
      </c>
      <c r="U66" s="279">
        <f>Rounding!U161</f>
        <v>0.36299999999999999</v>
      </c>
      <c r="V66" s="279">
        <f>Rounding!V161</f>
        <v>0.36299999999999999</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2.7709999999999999</v>
      </c>
      <c r="AH66" s="279">
        <f>Rounding!AH161</f>
        <v>-0.49</v>
      </c>
      <c r="AI66" s="279">
        <f>Rounding!AI161</f>
        <v>0</v>
      </c>
      <c r="AJ66" s="279">
        <f>Rounding!AJ161</f>
        <v>-0.49</v>
      </c>
      <c r="AK66" s="279">
        <f>Rounding!AK161</f>
        <v>0</v>
      </c>
      <c r="AL66" s="279">
        <f>Rounding!AL161</f>
        <v>0</v>
      </c>
      <c r="AM66" s="279">
        <f>Rounding!AM161</f>
        <v>0</v>
      </c>
      <c r="AN66" s="279">
        <f>Rounding!AN161</f>
        <v>0</v>
      </c>
      <c r="AO66" s="279">
        <f>Rounding!AO161</f>
        <v>0</v>
      </c>
      <c r="AP66" s="267"/>
      <c r="AQ66" s="267"/>
    </row>
    <row r="67" spans="3:43" x14ac:dyDescent="0.35">
      <c r="E67" s="28"/>
      <c r="F67" t="s">
        <v>159</v>
      </c>
      <c r="G67" s="13" t="s">
        <v>270</v>
      </c>
      <c r="H67" s="51"/>
      <c r="J67" s="120">
        <f>Rounding!J162</f>
        <v>22.34</v>
      </c>
      <c r="K67" s="120">
        <f>Rounding!K162</f>
        <v>0</v>
      </c>
      <c r="L67" s="120">
        <f>Rounding!L162</f>
        <v>7.34</v>
      </c>
      <c r="M67" s="120">
        <f>Rounding!M162</f>
        <v>9.4600000000000009</v>
      </c>
      <c r="N67" s="120">
        <f>Rounding!N162</f>
        <v>19.91</v>
      </c>
      <c r="O67" s="120">
        <f>Rounding!O162</f>
        <v>38.369999999999997</v>
      </c>
      <c r="P67" s="120">
        <f>Rounding!P162</f>
        <v>108.86</v>
      </c>
      <c r="Q67" s="120">
        <f>Rounding!Q162</f>
        <v>0</v>
      </c>
      <c r="R67" s="120">
        <f>Rounding!R162</f>
        <v>19.21</v>
      </c>
      <c r="S67" s="120">
        <f>Rounding!S162</f>
        <v>178.94</v>
      </c>
      <c r="T67" s="120">
        <f>Rounding!T162</f>
        <v>319.99</v>
      </c>
      <c r="U67" s="120">
        <f>Rounding!U162</f>
        <v>520.5</v>
      </c>
      <c r="V67" s="120">
        <f>Rounding!V162</f>
        <v>1191.29</v>
      </c>
      <c r="W67" s="120">
        <f>Rounding!W162</f>
        <v>0</v>
      </c>
      <c r="X67" s="120">
        <f>Rounding!X162</f>
        <v>0</v>
      </c>
      <c r="Y67" s="120">
        <f>Rounding!Y162</f>
        <v>0</v>
      </c>
      <c r="Z67" s="120">
        <f>Rounding!Z162</f>
        <v>0</v>
      </c>
      <c r="AA67" s="120">
        <f>Rounding!AA162</f>
        <v>0</v>
      </c>
      <c r="AB67" s="120">
        <f>Rounding!AB162</f>
        <v>0</v>
      </c>
      <c r="AC67" s="120">
        <f>Rounding!AC162</f>
        <v>0</v>
      </c>
      <c r="AD67" s="120">
        <f>Rounding!AD162</f>
        <v>0</v>
      </c>
      <c r="AE67" s="120">
        <f>Rounding!AE162</f>
        <v>0</v>
      </c>
      <c r="AF67" s="120">
        <f>Rounding!AF162</f>
        <v>0</v>
      </c>
      <c r="AG67" s="120">
        <f>Rounding!AG162</f>
        <v>0</v>
      </c>
      <c r="AH67" s="120">
        <f>Rounding!AH162</f>
        <v>0</v>
      </c>
      <c r="AI67" s="120">
        <f>Rounding!AI162</f>
        <v>0</v>
      </c>
      <c r="AJ67" s="120">
        <f>Rounding!AJ162</f>
        <v>0</v>
      </c>
      <c r="AK67" s="120">
        <f>Rounding!AK162</f>
        <v>0</v>
      </c>
      <c r="AL67" s="120">
        <f>Rounding!AL162</f>
        <v>0</v>
      </c>
      <c r="AM67" s="120">
        <f>Rounding!AM162</f>
        <v>0</v>
      </c>
      <c r="AN67" s="120">
        <f>Rounding!AN162</f>
        <v>0</v>
      </c>
      <c r="AO67" s="120">
        <f>Rounding!AO162</f>
        <v>0</v>
      </c>
    </row>
    <row r="68" spans="3:43" x14ac:dyDescent="0.35">
      <c r="E68" s="28"/>
      <c r="F68" t="s">
        <v>160</v>
      </c>
      <c r="G68" s="13" t="s">
        <v>271</v>
      </c>
      <c r="H68" s="51"/>
      <c r="J68" s="120">
        <f>Rounding!J163</f>
        <v>0</v>
      </c>
      <c r="K68" s="120">
        <f>Rounding!K163</f>
        <v>0</v>
      </c>
      <c r="L68" s="120">
        <f>Rounding!L163</f>
        <v>0</v>
      </c>
      <c r="M68" s="120">
        <f>Rounding!M163</f>
        <v>0</v>
      </c>
      <c r="N68" s="120">
        <f>Rounding!N163</f>
        <v>0</v>
      </c>
      <c r="O68" s="120">
        <f>Rounding!O163</f>
        <v>0</v>
      </c>
      <c r="P68" s="120">
        <f>Rounding!P163</f>
        <v>0</v>
      </c>
      <c r="Q68" s="120">
        <f>Rounding!Q163</f>
        <v>0</v>
      </c>
      <c r="R68" s="120">
        <f>Rounding!R163</f>
        <v>3.85</v>
      </c>
      <c r="S68" s="120">
        <f>Rounding!S163</f>
        <v>3.85</v>
      </c>
      <c r="T68" s="120">
        <f>Rounding!T163</f>
        <v>3.85</v>
      </c>
      <c r="U68" s="120">
        <f>Rounding!U163</f>
        <v>3.85</v>
      </c>
      <c r="V68" s="120">
        <f>Rounding!V163</f>
        <v>3.85</v>
      </c>
      <c r="W68" s="120">
        <f>Rounding!W163</f>
        <v>0</v>
      </c>
      <c r="X68" s="120">
        <f>Rounding!X163</f>
        <v>0</v>
      </c>
      <c r="Y68" s="120">
        <f>Rounding!Y163</f>
        <v>0</v>
      </c>
      <c r="Z68" s="120">
        <f>Rounding!Z163</f>
        <v>0</v>
      </c>
      <c r="AA68" s="120">
        <f>Rounding!AA163</f>
        <v>0</v>
      </c>
      <c r="AB68" s="120">
        <f>Rounding!AB163</f>
        <v>0</v>
      </c>
      <c r="AC68" s="120">
        <f>Rounding!AC163</f>
        <v>0</v>
      </c>
      <c r="AD68" s="120">
        <f>Rounding!AD163</f>
        <v>0</v>
      </c>
      <c r="AE68" s="120">
        <f>Rounding!AE163</f>
        <v>0</v>
      </c>
      <c r="AF68" s="120">
        <f>Rounding!AF163</f>
        <v>0</v>
      </c>
      <c r="AG68" s="120">
        <f>Rounding!AG163</f>
        <v>0</v>
      </c>
      <c r="AH68" s="120">
        <f>Rounding!AH163</f>
        <v>0</v>
      </c>
      <c r="AI68" s="120">
        <f>Rounding!AI163</f>
        <v>0</v>
      </c>
      <c r="AJ68" s="120">
        <f>Rounding!AJ163</f>
        <v>0</v>
      </c>
      <c r="AK68" s="120">
        <f>Rounding!AK163</f>
        <v>0</v>
      </c>
      <c r="AL68" s="120">
        <f>Rounding!AL163</f>
        <v>0</v>
      </c>
      <c r="AM68" s="120">
        <f>Rounding!AM163</f>
        <v>0</v>
      </c>
      <c r="AN68" s="120">
        <f>Rounding!AN163</f>
        <v>0</v>
      </c>
      <c r="AO68" s="120">
        <f>Rounding!AO163</f>
        <v>0</v>
      </c>
    </row>
    <row r="69" spans="3:43" x14ac:dyDescent="0.35">
      <c r="E69" s="28"/>
      <c r="F69" t="s">
        <v>161</v>
      </c>
      <c r="G69" s="13" t="s">
        <v>271</v>
      </c>
      <c r="H69" s="51"/>
      <c r="J69" s="120">
        <f>Rounding!J164</f>
        <v>0</v>
      </c>
      <c r="K69" s="120">
        <f>Rounding!K164</f>
        <v>0</v>
      </c>
      <c r="L69" s="120">
        <f>Rounding!L164</f>
        <v>0</v>
      </c>
      <c r="M69" s="120">
        <f>Rounding!M164</f>
        <v>0</v>
      </c>
      <c r="N69" s="120">
        <f>Rounding!N164</f>
        <v>0</v>
      </c>
      <c r="O69" s="120">
        <f>Rounding!O164</f>
        <v>0</v>
      </c>
      <c r="P69" s="120">
        <f>Rounding!P164</f>
        <v>0</v>
      </c>
      <c r="Q69" s="120">
        <f>Rounding!Q164</f>
        <v>0</v>
      </c>
      <c r="R69" s="120">
        <f>Rounding!R164</f>
        <v>6.73</v>
      </c>
      <c r="S69" s="120">
        <f>Rounding!S164</f>
        <v>6.73</v>
      </c>
      <c r="T69" s="120">
        <f>Rounding!T164</f>
        <v>6.73</v>
      </c>
      <c r="U69" s="120">
        <f>Rounding!U164</f>
        <v>6.73</v>
      </c>
      <c r="V69" s="120">
        <f>Rounding!V164</f>
        <v>6.73</v>
      </c>
      <c r="W69" s="120">
        <f>Rounding!W164</f>
        <v>0</v>
      </c>
      <c r="X69" s="120">
        <f>Rounding!X164</f>
        <v>0</v>
      </c>
      <c r="Y69" s="120">
        <f>Rounding!Y164</f>
        <v>0</v>
      </c>
      <c r="Z69" s="120">
        <f>Rounding!Z164</f>
        <v>0</v>
      </c>
      <c r="AA69" s="120">
        <f>Rounding!AA164</f>
        <v>0</v>
      </c>
      <c r="AB69" s="120">
        <f>Rounding!AB164</f>
        <v>0</v>
      </c>
      <c r="AC69" s="120">
        <f>Rounding!AC164</f>
        <v>0</v>
      </c>
      <c r="AD69" s="120">
        <f>Rounding!AD164</f>
        <v>0</v>
      </c>
      <c r="AE69" s="120">
        <f>Rounding!AE164</f>
        <v>0</v>
      </c>
      <c r="AF69" s="120">
        <f>Rounding!AF164</f>
        <v>0</v>
      </c>
      <c r="AG69" s="120">
        <f>Rounding!AG164</f>
        <v>0</v>
      </c>
      <c r="AH69" s="120">
        <f>Rounding!AH164</f>
        <v>0</v>
      </c>
      <c r="AI69" s="120">
        <f>Rounding!AI164</f>
        <v>0</v>
      </c>
      <c r="AJ69" s="120">
        <f>Rounding!AJ164</f>
        <v>0</v>
      </c>
      <c r="AK69" s="120">
        <f>Rounding!AK164</f>
        <v>0</v>
      </c>
      <c r="AL69" s="120">
        <f>Rounding!AL164</f>
        <v>0</v>
      </c>
      <c r="AM69" s="120">
        <f>Rounding!AM164</f>
        <v>0</v>
      </c>
      <c r="AN69" s="120">
        <f>Rounding!AN164</f>
        <v>0</v>
      </c>
      <c r="AO69" s="120">
        <f>Rounding!AO164</f>
        <v>0</v>
      </c>
    </row>
    <row r="70" spans="3:43" x14ac:dyDescent="0.35">
      <c r="E70" s="28"/>
      <c r="F70" s="37" t="s">
        <v>162</v>
      </c>
      <c r="G70" s="86" t="s">
        <v>272</v>
      </c>
      <c r="H70" s="283"/>
      <c r="I70" s="269"/>
      <c r="J70" s="283">
        <f>Rounding!J165</f>
        <v>0</v>
      </c>
      <c r="K70" s="283">
        <f>Rounding!K165</f>
        <v>0</v>
      </c>
      <c r="L70" s="283">
        <f>Rounding!L165</f>
        <v>0</v>
      </c>
      <c r="M70" s="283">
        <f>Rounding!M165</f>
        <v>0</v>
      </c>
      <c r="N70" s="283">
        <f>Rounding!N165</f>
        <v>0</v>
      </c>
      <c r="O70" s="283">
        <f>Rounding!O165</f>
        <v>0</v>
      </c>
      <c r="P70" s="283">
        <f>Rounding!P165</f>
        <v>0</v>
      </c>
      <c r="Q70" s="283">
        <f>Rounding!Q165</f>
        <v>0</v>
      </c>
      <c r="R70" s="283">
        <f>Rounding!R165</f>
        <v>0.20499999999999999</v>
      </c>
      <c r="S70" s="283">
        <f>Rounding!S165</f>
        <v>0.20499999999999999</v>
      </c>
      <c r="T70" s="283">
        <f>Rounding!T165</f>
        <v>0.20499999999999999</v>
      </c>
      <c r="U70" s="283">
        <f>Rounding!U165</f>
        <v>0.20499999999999999</v>
      </c>
      <c r="V70" s="283">
        <f>Rounding!V165</f>
        <v>0.20499999999999999</v>
      </c>
      <c r="W70" s="283">
        <f>Rounding!W165</f>
        <v>0</v>
      </c>
      <c r="X70" s="283">
        <f>Rounding!X165</f>
        <v>0</v>
      </c>
      <c r="Y70" s="283">
        <f>Rounding!Y165</f>
        <v>0</v>
      </c>
      <c r="Z70" s="283">
        <f>Rounding!Z165</f>
        <v>0</v>
      </c>
      <c r="AA70" s="283">
        <f>Rounding!AA165</f>
        <v>0</v>
      </c>
      <c r="AB70" s="283">
        <f>Rounding!AB165</f>
        <v>0</v>
      </c>
      <c r="AC70" s="283">
        <f>Rounding!AC165</f>
        <v>0</v>
      </c>
      <c r="AD70" s="283">
        <f>Rounding!AD165</f>
        <v>0</v>
      </c>
      <c r="AE70" s="283">
        <f>Rounding!AE165</f>
        <v>0</v>
      </c>
      <c r="AF70" s="283">
        <f>Rounding!AF165</f>
        <v>0</v>
      </c>
      <c r="AG70" s="283">
        <f>Rounding!AG165</f>
        <v>0</v>
      </c>
      <c r="AH70" s="283">
        <f>Rounding!AH165</f>
        <v>0</v>
      </c>
      <c r="AI70" s="283">
        <f>Rounding!AI165</f>
        <v>0</v>
      </c>
      <c r="AJ70" s="283">
        <f>Rounding!AJ165</f>
        <v>0.28399999999999997</v>
      </c>
      <c r="AK70" s="283">
        <f>Rounding!AK165</f>
        <v>0</v>
      </c>
      <c r="AL70" s="283">
        <f>Rounding!AL165</f>
        <v>0</v>
      </c>
      <c r="AM70" s="283">
        <f>Rounding!AM165</f>
        <v>0</v>
      </c>
      <c r="AN70" s="283">
        <f>Rounding!AN165</f>
        <v>0</v>
      </c>
      <c r="AO70" s="283">
        <f>Rounding!AO165</f>
        <v>0</v>
      </c>
      <c r="AP70" s="267"/>
      <c r="AQ70" s="267"/>
    </row>
    <row r="71" spans="3:43" x14ac:dyDescent="0.35">
      <c r="E71" s="28"/>
      <c r="G71" s="13"/>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3:43" x14ac:dyDescent="0.35">
      <c r="E72" s="32" t="s">
        <v>761</v>
      </c>
      <c r="G72" s="13"/>
      <c r="I72" t="s">
        <v>154</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Q72" t="s">
        <v>155</v>
      </c>
    </row>
    <row r="73" spans="3:43" x14ac:dyDescent="0.35">
      <c r="C73" s="88"/>
      <c r="F73" s="23" t="s">
        <v>156</v>
      </c>
      <c r="G73" s="85" t="s">
        <v>269</v>
      </c>
      <c r="H73" s="278"/>
      <c r="I73" s="266"/>
      <c r="J73" s="278">
        <f>Rounding!J168</f>
        <v>4.0940000000000003</v>
      </c>
      <c r="K73" s="278">
        <f>Rounding!K168</f>
        <v>4.0940000000000003</v>
      </c>
      <c r="L73" s="278">
        <f>Rounding!L168</f>
        <v>4.6980000000000004</v>
      </c>
      <c r="M73" s="278">
        <f>Rounding!M168</f>
        <v>4.6980000000000004</v>
      </c>
      <c r="N73" s="278">
        <f>Rounding!N168</f>
        <v>4.6980000000000004</v>
      </c>
      <c r="O73" s="278">
        <f>Rounding!O168</f>
        <v>4.6980000000000004</v>
      </c>
      <c r="P73" s="278">
        <f>Rounding!P168</f>
        <v>4.6980000000000004</v>
      </c>
      <c r="Q73" s="278">
        <f>Rounding!Q168</f>
        <v>4.6980000000000004</v>
      </c>
      <c r="R73" s="278">
        <f>Rounding!R168</f>
        <v>3.3860000000000001</v>
      </c>
      <c r="S73" s="278">
        <f>Rounding!S168</f>
        <v>3.3860000000000001</v>
      </c>
      <c r="T73" s="278">
        <f>Rounding!T168</f>
        <v>3.3860000000000001</v>
      </c>
      <c r="U73" s="278">
        <f>Rounding!U168</f>
        <v>3.3860000000000001</v>
      </c>
      <c r="V73" s="278">
        <f>Rounding!V168</f>
        <v>3.3860000000000001</v>
      </c>
      <c r="W73" s="278">
        <f>Rounding!W168</f>
        <v>2.5270000000000001</v>
      </c>
      <c r="X73" s="278">
        <f>Rounding!X168</f>
        <v>2.5270000000000001</v>
      </c>
      <c r="Y73" s="278">
        <f>Rounding!Y168</f>
        <v>2.5270000000000001</v>
      </c>
      <c r="Z73" s="278">
        <f>Rounding!Z168</f>
        <v>2.5270000000000001</v>
      </c>
      <c r="AA73" s="278">
        <f>Rounding!AA168</f>
        <v>2.5270000000000001</v>
      </c>
      <c r="AB73" s="278">
        <f>Rounding!AB168</f>
        <v>1.9330000000000001</v>
      </c>
      <c r="AC73" s="278">
        <f>Rounding!AC168</f>
        <v>1.9330000000000001</v>
      </c>
      <c r="AD73" s="278">
        <f>Rounding!AD168</f>
        <v>1.9330000000000001</v>
      </c>
      <c r="AE73" s="278">
        <f>Rounding!AE168</f>
        <v>1.9330000000000001</v>
      </c>
      <c r="AF73" s="278">
        <f>Rounding!AF168</f>
        <v>1.9330000000000001</v>
      </c>
      <c r="AG73" s="278">
        <f>Rounding!AG168</f>
        <v>8.14</v>
      </c>
      <c r="AH73" s="278">
        <f>Rounding!AH168</f>
        <v>-6.77</v>
      </c>
      <c r="AI73" s="278">
        <f>Rounding!AI168</f>
        <v>-6.0629999999999997</v>
      </c>
      <c r="AJ73" s="278">
        <f>Rounding!AJ168</f>
        <v>-6.77</v>
      </c>
      <c r="AK73" s="278">
        <f>Rounding!AK168</f>
        <v>0</v>
      </c>
      <c r="AL73" s="278">
        <f>Rounding!AL168</f>
        <v>-6.0629999999999997</v>
      </c>
      <c r="AM73" s="278">
        <f>Rounding!AM168</f>
        <v>0</v>
      </c>
      <c r="AN73" s="278">
        <f>Rounding!AN168</f>
        <v>-3.399</v>
      </c>
      <c r="AO73" s="278">
        <f>Rounding!AO168</f>
        <v>0</v>
      </c>
      <c r="AP73" s="267"/>
      <c r="AQ73" s="267"/>
    </row>
    <row r="74" spans="3:43" x14ac:dyDescent="0.35">
      <c r="C74" s="88"/>
      <c r="F74" t="s">
        <v>157</v>
      </c>
      <c r="G74" s="13" t="s">
        <v>269</v>
      </c>
      <c r="H74" s="279"/>
      <c r="I74" s="267"/>
      <c r="J74" s="279">
        <f>Rounding!J169</f>
        <v>0.85099999999999998</v>
      </c>
      <c r="K74" s="279">
        <f>Rounding!K169</f>
        <v>0.85099999999999998</v>
      </c>
      <c r="L74" s="279">
        <f>Rounding!L169</f>
        <v>0.97699999999999998</v>
      </c>
      <c r="M74" s="279">
        <f>Rounding!M169</f>
        <v>0.97699999999999998</v>
      </c>
      <c r="N74" s="279">
        <f>Rounding!N169</f>
        <v>0.97699999999999998</v>
      </c>
      <c r="O74" s="279">
        <f>Rounding!O169</f>
        <v>0.97699999999999998</v>
      </c>
      <c r="P74" s="279">
        <f>Rounding!P169</f>
        <v>0.97699999999999998</v>
      </c>
      <c r="Q74" s="279">
        <f>Rounding!Q169</f>
        <v>0.97699999999999998</v>
      </c>
      <c r="R74" s="279">
        <f>Rounding!R169</f>
        <v>0.68500000000000005</v>
      </c>
      <c r="S74" s="279">
        <f>Rounding!S169</f>
        <v>0.68500000000000005</v>
      </c>
      <c r="T74" s="279">
        <f>Rounding!T169</f>
        <v>0.68500000000000005</v>
      </c>
      <c r="U74" s="279">
        <f>Rounding!U169</f>
        <v>0.68500000000000005</v>
      </c>
      <c r="V74" s="279">
        <f>Rounding!V169</f>
        <v>0.68500000000000005</v>
      </c>
      <c r="W74" s="279">
        <f>Rounding!W169</f>
        <v>0.45700000000000002</v>
      </c>
      <c r="X74" s="279">
        <f>Rounding!X169</f>
        <v>0.45700000000000002</v>
      </c>
      <c r="Y74" s="279">
        <f>Rounding!Y169</f>
        <v>0.45700000000000002</v>
      </c>
      <c r="Z74" s="279">
        <f>Rounding!Z169</f>
        <v>0.45700000000000002</v>
      </c>
      <c r="AA74" s="279">
        <f>Rounding!AA169</f>
        <v>0.45700000000000002</v>
      </c>
      <c r="AB74" s="279">
        <f>Rounding!AB169</f>
        <v>0.33500000000000002</v>
      </c>
      <c r="AC74" s="279">
        <f>Rounding!AC169</f>
        <v>0.33500000000000002</v>
      </c>
      <c r="AD74" s="279">
        <f>Rounding!AD169</f>
        <v>0.33500000000000002</v>
      </c>
      <c r="AE74" s="279">
        <f>Rounding!AE169</f>
        <v>0.33500000000000002</v>
      </c>
      <c r="AF74" s="279">
        <f>Rounding!AF169</f>
        <v>0.33500000000000002</v>
      </c>
      <c r="AG74" s="279">
        <f>Rounding!AG169</f>
        <v>2.286</v>
      </c>
      <c r="AH74" s="279">
        <f>Rounding!AH169</f>
        <v>-1.407</v>
      </c>
      <c r="AI74" s="279">
        <f>Rounding!AI169</f>
        <v>-1.246</v>
      </c>
      <c r="AJ74" s="279">
        <f>Rounding!AJ169</f>
        <v>-1.407</v>
      </c>
      <c r="AK74" s="279">
        <f>Rounding!AK169</f>
        <v>0</v>
      </c>
      <c r="AL74" s="279">
        <f>Rounding!AL169</f>
        <v>-1.246</v>
      </c>
      <c r="AM74" s="279">
        <f>Rounding!AM169</f>
        <v>0</v>
      </c>
      <c r="AN74" s="279">
        <f>Rounding!AN169</f>
        <v>-0.61499999999999999</v>
      </c>
      <c r="AO74" s="279">
        <f>Rounding!AO169</f>
        <v>0</v>
      </c>
      <c r="AP74" s="267"/>
      <c r="AQ74" s="267"/>
    </row>
    <row r="75" spans="3:43" x14ac:dyDescent="0.35">
      <c r="C75" s="88"/>
      <c r="F75" t="s">
        <v>158</v>
      </c>
      <c r="G75" s="13" t="s">
        <v>269</v>
      </c>
      <c r="H75" s="279"/>
      <c r="I75" s="267"/>
      <c r="J75" s="279">
        <f>Rounding!J170</f>
        <v>0.29599999999999999</v>
      </c>
      <c r="K75" s="279">
        <f>Rounding!K170</f>
        <v>0.29599999999999999</v>
      </c>
      <c r="L75" s="279">
        <f>Rounding!L170</f>
        <v>0.34</v>
      </c>
      <c r="M75" s="279">
        <f>Rounding!M170</f>
        <v>0.34</v>
      </c>
      <c r="N75" s="279">
        <f>Rounding!N170</f>
        <v>0.34</v>
      </c>
      <c r="O75" s="279">
        <f>Rounding!O170</f>
        <v>0.34</v>
      </c>
      <c r="P75" s="279">
        <f>Rounding!P170</f>
        <v>0.34</v>
      </c>
      <c r="Q75" s="279">
        <f>Rounding!Q170</f>
        <v>0.34</v>
      </c>
      <c r="R75" s="279">
        <f>Rounding!R170</f>
        <v>0.24</v>
      </c>
      <c r="S75" s="279">
        <f>Rounding!S170</f>
        <v>0.24</v>
      </c>
      <c r="T75" s="279">
        <f>Rounding!T170</f>
        <v>0.24</v>
      </c>
      <c r="U75" s="279">
        <f>Rounding!U170</f>
        <v>0.24</v>
      </c>
      <c r="V75" s="279">
        <f>Rounding!V170</f>
        <v>0.24</v>
      </c>
      <c r="W75" s="279">
        <f>Rounding!W170</f>
        <v>0.16600000000000001</v>
      </c>
      <c r="X75" s="279">
        <f>Rounding!X170</f>
        <v>0.16600000000000001</v>
      </c>
      <c r="Y75" s="279">
        <f>Rounding!Y170</f>
        <v>0.16600000000000001</v>
      </c>
      <c r="Z75" s="279">
        <f>Rounding!Z170</f>
        <v>0.16600000000000001</v>
      </c>
      <c r="AA75" s="279">
        <f>Rounding!AA170</f>
        <v>0.16600000000000001</v>
      </c>
      <c r="AB75" s="279">
        <f>Rounding!AB170</f>
        <v>0.13</v>
      </c>
      <c r="AC75" s="279">
        <f>Rounding!AC170</f>
        <v>0.13</v>
      </c>
      <c r="AD75" s="279">
        <f>Rounding!AD170</f>
        <v>0.13</v>
      </c>
      <c r="AE75" s="279">
        <f>Rounding!AE170</f>
        <v>0.13</v>
      </c>
      <c r="AF75" s="279">
        <f>Rounding!AF170</f>
        <v>0.13</v>
      </c>
      <c r="AG75" s="279">
        <f>Rounding!AG170</f>
        <v>1.8340000000000001</v>
      </c>
      <c r="AH75" s="279">
        <f>Rounding!AH170</f>
        <v>-0.49</v>
      </c>
      <c r="AI75" s="279">
        <f>Rounding!AI170</f>
        <v>-0.435</v>
      </c>
      <c r="AJ75" s="279">
        <f>Rounding!AJ170</f>
        <v>-0.49</v>
      </c>
      <c r="AK75" s="279">
        <f>Rounding!AK170</f>
        <v>0</v>
      </c>
      <c r="AL75" s="279">
        <f>Rounding!AL170</f>
        <v>-0.435</v>
      </c>
      <c r="AM75" s="279">
        <f>Rounding!AM170</f>
        <v>0</v>
      </c>
      <c r="AN75" s="279">
        <f>Rounding!AN170</f>
        <v>-0.224</v>
      </c>
      <c r="AO75" s="279">
        <f>Rounding!AO170</f>
        <v>0</v>
      </c>
      <c r="AP75" s="267"/>
      <c r="AQ75" s="267"/>
    </row>
    <row r="76" spans="3:43" x14ac:dyDescent="0.35">
      <c r="C76" s="88"/>
      <c r="F76" t="s">
        <v>159</v>
      </c>
      <c r="G76" s="13" t="s">
        <v>270</v>
      </c>
      <c r="H76" s="51"/>
      <c r="J76" s="120">
        <f>Rounding!J171</f>
        <v>18.14</v>
      </c>
      <c r="K76" s="120">
        <f>Rounding!K171</f>
        <v>0</v>
      </c>
      <c r="L76" s="120">
        <f>Rounding!L171</f>
        <v>4.87</v>
      </c>
      <c r="M76" s="120">
        <f>Rounding!M171</f>
        <v>6.28</v>
      </c>
      <c r="N76" s="120">
        <f>Rounding!N171</f>
        <v>13.2</v>
      </c>
      <c r="O76" s="120">
        <f>Rounding!O171</f>
        <v>25.41</v>
      </c>
      <c r="P76" s="120">
        <f>Rounding!P171</f>
        <v>72.06</v>
      </c>
      <c r="Q76" s="120">
        <f>Rounding!Q171</f>
        <v>0</v>
      </c>
      <c r="R76" s="120">
        <f>Rounding!R171</f>
        <v>12.73</v>
      </c>
      <c r="S76" s="120">
        <f>Rounding!S171</f>
        <v>118.44</v>
      </c>
      <c r="T76" s="120">
        <f>Rounding!T171</f>
        <v>211.79</v>
      </c>
      <c r="U76" s="120">
        <f>Rounding!U171</f>
        <v>344.49</v>
      </c>
      <c r="V76" s="120">
        <f>Rounding!V171</f>
        <v>788.43</v>
      </c>
      <c r="W76" s="120">
        <f>Rounding!W171</f>
        <v>43.09</v>
      </c>
      <c r="X76" s="120">
        <f>Rounding!X171</f>
        <v>195.7</v>
      </c>
      <c r="Y76" s="120">
        <f>Rounding!Y171</f>
        <v>330.46</v>
      </c>
      <c r="Z76" s="120">
        <f>Rounding!Z171</f>
        <v>522.04</v>
      </c>
      <c r="AA76" s="120">
        <f>Rounding!AA171</f>
        <v>1162.93</v>
      </c>
      <c r="AB76" s="120">
        <f>Rounding!AB171</f>
        <v>237.6</v>
      </c>
      <c r="AC76" s="120">
        <f>Rounding!AC171</f>
        <v>547.02</v>
      </c>
      <c r="AD76" s="120">
        <f>Rounding!AD171</f>
        <v>2645.49</v>
      </c>
      <c r="AE76" s="120">
        <f>Rounding!AE171</f>
        <v>5416.78</v>
      </c>
      <c r="AF76" s="120">
        <f>Rounding!AF171</f>
        <v>11611.58</v>
      </c>
      <c r="AG76" s="120">
        <f>Rounding!AG171</f>
        <v>0</v>
      </c>
      <c r="AH76" s="120">
        <f>Rounding!AH171</f>
        <v>0</v>
      </c>
      <c r="AI76" s="120">
        <f>Rounding!AI171</f>
        <v>0</v>
      </c>
      <c r="AJ76" s="120">
        <f>Rounding!AJ171</f>
        <v>0</v>
      </c>
      <c r="AK76" s="120">
        <f>Rounding!AK171</f>
        <v>0</v>
      </c>
      <c r="AL76" s="120">
        <f>Rounding!AL171</f>
        <v>0</v>
      </c>
      <c r="AM76" s="120">
        <f>Rounding!AM171</f>
        <v>0</v>
      </c>
      <c r="AN76" s="120">
        <f>Rounding!AN171</f>
        <v>0</v>
      </c>
      <c r="AO76" s="120">
        <f>Rounding!AO171</f>
        <v>0</v>
      </c>
    </row>
    <row r="77" spans="3:43" x14ac:dyDescent="0.35">
      <c r="C77" s="88"/>
      <c r="F77" t="s">
        <v>160</v>
      </c>
      <c r="G77" s="13" t="s">
        <v>271</v>
      </c>
      <c r="H77" s="51"/>
      <c r="J77" s="120">
        <f>Rounding!J172</f>
        <v>0</v>
      </c>
      <c r="K77" s="120">
        <f>Rounding!K172</f>
        <v>0</v>
      </c>
      <c r="L77" s="120">
        <f>Rounding!L172</f>
        <v>0</v>
      </c>
      <c r="M77" s="120">
        <f>Rounding!M172</f>
        <v>0</v>
      </c>
      <c r="N77" s="120">
        <f>Rounding!N172</f>
        <v>0</v>
      </c>
      <c r="O77" s="120">
        <f>Rounding!O172</f>
        <v>0</v>
      </c>
      <c r="P77" s="120">
        <f>Rounding!P172</f>
        <v>0</v>
      </c>
      <c r="Q77" s="120">
        <f>Rounding!Q172</f>
        <v>0</v>
      </c>
      <c r="R77" s="120">
        <f>Rounding!R172</f>
        <v>2.5499999999999998</v>
      </c>
      <c r="S77" s="120">
        <f>Rounding!S172</f>
        <v>2.5499999999999998</v>
      </c>
      <c r="T77" s="120">
        <f>Rounding!T172</f>
        <v>2.5499999999999998</v>
      </c>
      <c r="U77" s="120">
        <f>Rounding!U172</f>
        <v>2.5499999999999998</v>
      </c>
      <c r="V77" s="120">
        <f>Rounding!V172</f>
        <v>2.5499999999999998</v>
      </c>
      <c r="W77" s="120">
        <f>Rounding!W172</f>
        <v>5.82</v>
      </c>
      <c r="X77" s="120">
        <f>Rounding!X172</f>
        <v>5.82</v>
      </c>
      <c r="Y77" s="120">
        <f>Rounding!Y172</f>
        <v>5.82</v>
      </c>
      <c r="Z77" s="120">
        <f>Rounding!Z172</f>
        <v>5.82</v>
      </c>
      <c r="AA77" s="120">
        <f>Rounding!AA172</f>
        <v>5.82</v>
      </c>
      <c r="AB77" s="120">
        <f>Rounding!AB172</f>
        <v>8.6</v>
      </c>
      <c r="AC77" s="120">
        <f>Rounding!AC172</f>
        <v>8.6</v>
      </c>
      <c r="AD77" s="120">
        <f>Rounding!AD172</f>
        <v>8.6</v>
      </c>
      <c r="AE77" s="120">
        <f>Rounding!AE172</f>
        <v>8.6</v>
      </c>
      <c r="AF77" s="120">
        <f>Rounding!AF172</f>
        <v>8.6</v>
      </c>
      <c r="AG77" s="120">
        <f>Rounding!AG172</f>
        <v>0</v>
      </c>
      <c r="AH77" s="120">
        <f>Rounding!AH172</f>
        <v>0</v>
      </c>
      <c r="AI77" s="120">
        <f>Rounding!AI172</f>
        <v>0</v>
      </c>
      <c r="AJ77" s="120">
        <f>Rounding!AJ172</f>
        <v>0</v>
      </c>
      <c r="AK77" s="120">
        <f>Rounding!AK172</f>
        <v>0</v>
      </c>
      <c r="AL77" s="120">
        <f>Rounding!AL172</f>
        <v>0</v>
      </c>
      <c r="AM77" s="120">
        <f>Rounding!AM172</f>
        <v>0</v>
      </c>
      <c r="AN77" s="120">
        <f>Rounding!AN172</f>
        <v>0</v>
      </c>
      <c r="AO77" s="120">
        <f>Rounding!AO172</f>
        <v>0</v>
      </c>
    </row>
    <row r="78" spans="3:43" x14ac:dyDescent="0.35">
      <c r="C78" s="88"/>
      <c r="F78" t="s">
        <v>161</v>
      </c>
      <c r="G78" s="13" t="s">
        <v>271</v>
      </c>
      <c r="H78" s="51"/>
      <c r="J78" s="120">
        <f>Rounding!J173</f>
        <v>0</v>
      </c>
      <c r="K78" s="120">
        <f>Rounding!K173</f>
        <v>0</v>
      </c>
      <c r="L78" s="120">
        <f>Rounding!L173</f>
        <v>0</v>
      </c>
      <c r="M78" s="120">
        <f>Rounding!M173</f>
        <v>0</v>
      </c>
      <c r="N78" s="120">
        <f>Rounding!N173</f>
        <v>0</v>
      </c>
      <c r="O78" s="120">
        <f>Rounding!O173</f>
        <v>0</v>
      </c>
      <c r="P78" s="120">
        <f>Rounding!P173</f>
        <v>0</v>
      </c>
      <c r="Q78" s="120">
        <f>Rounding!Q173</f>
        <v>0</v>
      </c>
      <c r="R78" s="120">
        <f>Rounding!R173</f>
        <v>4.45</v>
      </c>
      <c r="S78" s="120">
        <f>Rounding!S173</f>
        <v>4.45</v>
      </c>
      <c r="T78" s="120">
        <f>Rounding!T173</f>
        <v>4.45</v>
      </c>
      <c r="U78" s="120">
        <f>Rounding!U173</f>
        <v>4.45</v>
      </c>
      <c r="V78" s="120">
        <f>Rounding!V173</f>
        <v>4.45</v>
      </c>
      <c r="W78" s="120">
        <f>Rounding!W173</f>
        <v>7.88</v>
      </c>
      <c r="X78" s="120">
        <f>Rounding!X173</f>
        <v>7.88</v>
      </c>
      <c r="Y78" s="120">
        <f>Rounding!Y173</f>
        <v>7.88</v>
      </c>
      <c r="Z78" s="120">
        <f>Rounding!Z173</f>
        <v>7.88</v>
      </c>
      <c r="AA78" s="120">
        <f>Rounding!AA173</f>
        <v>7.88</v>
      </c>
      <c r="AB78" s="120">
        <f>Rounding!AB173</f>
        <v>10.01</v>
      </c>
      <c r="AC78" s="120">
        <f>Rounding!AC173</f>
        <v>10.01</v>
      </c>
      <c r="AD78" s="120">
        <f>Rounding!AD173</f>
        <v>10.01</v>
      </c>
      <c r="AE78" s="120">
        <f>Rounding!AE173</f>
        <v>10.01</v>
      </c>
      <c r="AF78" s="120">
        <f>Rounding!AF173</f>
        <v>10.01</v>
      </c>
      <c r="AG78" s="120">
        <f>Rounding!AG173</f>
        <v>0</v>
      </c>
      <c r="AH78" s="120">
        <f>Rounding!AH173</f>
        <v>0</v>
      </c>
      <c r="AI78" s="120">
        <f>Rounding!AI173</f>
        <v>0</v>
      </c>
      <c r="AJ78" s="120">
        <f>Rounding!AJ173</f>
        <v>0</v>
      </c>
      <c r="AK78" s="120">
        <f>Rounding!AK173</f>
        <v>0</v>
      </c>
      <c r="AL78" s="120">
        <f>Rounding!AL173</f>
        <v>0</v>
      </c>
      <c r="AM78" s="120">
        <f>Rounding!AM173</f>
        <v>0</v>
      </c>
      <c r="AN78" s="120">
        <f>Rounding!AN173</f>
        <v>0</v>
      </c>
      <c r="AO78" s="120">
        <f>Rounding!AO173</f>
        <v>0</v>
      </c>
    </row>
    <row r="79" spans="3:43" x14ac:dyDescent="0.35">
      <c r="C79" s="88"/>
      <c r="F79" s="37" t="s">
        <v>162</v>
      </c>
      <c r="G79" s="86" t="s">
        <v>272</v>
      </c>
      <c r="H79" s="283"/>
      <c r="I79" s="269"/>
      <c r="J79" s="283">
        <f>Rounding!J174</f>
        <v>0</v>
      </c>
      <c r="K79" s="283">
        <f>Rounding!K174</f>
        <v>0</v>
      </c>
      <c r="L79" s="283">
        <f>Rounding!L174</f>
        <v>0</v>
      </c>
      <c r="M79" s="283">
        <f>Rounding!M174</f>
        <v>0</v>
      </c>
      <c r="N79" s="283">
        <f>Rounding!N174</f>
        <v>0</v>
      </c>
      <c r="O79" s="283">
        <f>Rounding!O174</f>
        <v>0</v>
      </c>
      <c r="P79" s="283">
        <f>Rounding!P174</f>
        <v>0</v>
      </c>
      <c r="Q79" s="283">
        <f>Rounding!Q174</f>
        <v>0</v>
      </c>
      <c r="R79" s="283">
        <f>Rounding!R174</f>
        <v>0.13600000000000001</v>
      </c>
      <c r="S79" s="283">
        <f>Rounding!S174</f>
        <v>0.13600000000000001</v>
      </c>
      <c r="T79" s="283">
        <f>Rounding!T174</f>
        <v>0.13600000000000001</v>
      </c>
      <c r="U79" s="283">
        <f>Rounding!U174</f>
        <v>0.13600000000000001</v>
      </c>
      <c r="V79" s="283">
        <f>Rounding!V174</f>
        <v>0.13600000000000001</v>
      </c>
      <c r="W79" s="283">
        <f>Rounding!W174</f>
        <v>9.2999999999999999E-2</v>
      </c>
      <c r="X79" s="283">
        <f>Rounding!X174</f>
        <v>9.2999999999999999E-2</v>
      </c>
      <c r="Y79" s="283">
        <f>Rounding!Y174</f>
        <v>9.2999999999999999E-2</v>
      </c>
      <c r="Z79" s="283">
        <f>Rounding!Z174</f>
        <v>9.2999999999999999E-2</v>
      </c>
      <c r="AA79" s="283">
        <f>Rounding!AA174</f>
        <v>9.2999999999999999E-2</v>
      </c>
      <c r="AB79" s="283">
        <f>Rounding!AB174</f>
        <v>6.9000000000000006E-2</v>
      </c>
      <c r="AC79" s="283">
        <f>Rounding!AC174</f>
        <v>6.9000000000000006E-2</v>
      </c>
      <c r="AD79" s="283">
        <f>Rounding!AD174</f>
        <v>6.9000000000000006E-2</v>
      </c>
      <c r="AE79" s="283">
        <f>Rounding!AE174</f>
        <v>6.9000000000000006E-2</v>
      </c>
      <c r="AF79" s="283">
        <f>Rounding!AF174</f>
        <v>6.9000000000000006E-2</v>
      </c>
      <c r="AG79" s="283">
        <f>Rounding!AG174</f>
        <v>0</v>
      </c>
      <c r="AH79" s="283">
        <f>Rounding!AH174</f>
        <v>0</v>
      </c>
      <c r="AI79" s="283">
        <f>Rounding!AI174</f>
        <v>0</v>
      </c>
      <c r="AJ79" s="283">
        <f>Rounding!AJ174</f>
        <v>0.28399999999999997</v>
      </c>
      <c r="AK79" s="283">
        <f>Rounding!AK174</f>
        <v>0</v>
      </c>
      <c r="AL79" s="283">
        <f>Rounding!AL174</f>
        <v>0.23799999999999999</v>
      </c>
      <c r="AM79" s="283">
        <f>Rounding!AM174</f>
        <v>0</v>
      </c>
      <c r="AN79" s="283">
        <f>Rounding!AN174</f>
        <v>0.216</v>
      </c>
      <c r="AO79" s="283">
        <f>Rounding!AO174</f>
        <v>0</v>
      </c>
      <c r="AP79" s="267"/>
      <c r="AQ79" s="267"/>
    </row>
    <row r="80" spans="3:43" x14ac:dyDescent="0.35">
      <c r="C80" s="88"/>
      <c r="D80" s="2"/>
      <c r="E80" s="2"/>
      <c r="G80" s="13"/>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3" x14ac:dyDescent="0.35">
      <c r="C81" s="31" t="str">
        <f ca="1">INDEX('Version control'!$H$34:$H$57,MATCH($A$1,'Version control'!$F$34:$F$57,0),1)&amp;"-C: Net revenue components"</f>
        <v>Section 118-C: Net revenue components</v>
      </c>
      <c r="D81" s="31"/>
      <c r="E81" s="31"/>
      <c r="F81" s="31"/>
      <c r="G81" s="31"/>
      <c r="H81" s="31"/>
      <c r="I81" s="31"/>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31"/>
      <c r="AQ81" s="31"/>
    </row>
    <row r="82" spans="2:43" x14ac:dyDescent="0.35">
      <c r="D82" s="32"/>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3" x14ac:dyDescent="0.35">
      <c r="E83" t="s">
        <v>737</v>
      </c>
      <c r="G83" s="13" t="s">
        <v>277</v>
      </c>
      <c r="H83" s="120">
        <f>'General inputs'!$H$87</f>
        <v>248166603.79797688</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row>
    <row r="84" spans="2:43" x14ac:dyDescent="0.35">
      <c r="G84" s="13"/>
      <c r="H84" s="120"/>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row>
    <row r="85" spans="2:43" x14ac:dyDescent="0.35">
      <c r="E85" t="s">
        <v>762</v>
      </c>
      <c r="G85" s="13" t="s">
        <v>277</v>
      </c>
      <c r="H85" s="120">
        <f>'Revenue matching'!H82</f>
        <v>163931533.92872003</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row>
    <row r="86" spans="2:43" x14ac:dyDescent="0.35">
      <c r="E86" t="s">
        <v>893</v>
      </c>
      <c r="G86" s="13" t="s">
        <v>277</v>
      </c>
      <c r="H86" s="124">
        <f>'SoLR &amp; bad debt adders'!H52</f>
        <v>25993207.014630072</v>
      </c>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row>
    <row r="87" spans="2:43" x14ac:dyDescent="0.35">
      <c r="E87" t="s">
        <v>894</v>
      </c>
      <c r="G87" s="13" t="s">
        <v>277</v>
      </c>
      <c r="H87" s="124">
        <f>'SoLR &amp; bad debt adders'!H56</f>
        <v>0</v>
      </c>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row>
    <row r="88" spans="2:43" x14ac:dyDescent="0.35">
      <c r="E88" t="s">
        <v>1017</v>
      </c>
      <c r="G88" s="13" t="s">
        <v>277</v>
      </c>
      <c r="H88" s="124">
        <f>'Revenue matching'!H84</f>
        <v>58241862.854626775</v>
      </c>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row>
    <row r="89" spans="2:43" x14ac:dyDescent="0.35">
      <c r="D89" s="32"/>
      <c r="H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row>
    <row r="90" spans="2:43" x14ac:dyDescent="0.35">
      <c r="B90" s="30" t="s">
        <v>763</v>
      </c>
      <c r="C90" s="30"/>
      <c r="D90" s="30"/>
      <c r="E90" s="30"/>
      <c r="F90" s="30"/>
      <c r="G90" s="30"/>
      <c r="H90" s="184"/>
      <c r="I90" s="30"/>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30"/>
      <c r="AQ90" s="30"/>
    </row>
    <row r="91" spans="2:43" x14ac:dyDescent="0.35">
      <c r="D91" s="2"/>
      <c r="E91" s="2"/>
      <c r="H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row>
    <row r="92" spans="2:43" x14ac:dyDescent="0.35">
      <c r="C92" s="31" t="str">
        <f ca="1">INDEX('Version control'!$H$34:$H$57,MATCH($A$1,'Version control'!$F$34:$F$57,0),1)&amp;"-D: Net revenue by tariff"</f>
        <v>Section 118-D: Net revenue by tariff</v>
      </c>
      <c r="D92" s="31"/>
      <c r="E92" s="31"/>
      <c r="F92" s="31"/>
      <c r="G92" s="31"/>
      <c r="H92" s="90"/>
      <c r="I92" s="3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31"/>
      <c r="AQ92" s="31"/>
    </row>
    <row r="93" spans="2:43" x14ac:dyDescent="0.35">
      <c r="F93" s="3"/>
      <c r="G93" s="212"/>
      <c r="H93" s="127"/>
      <c r="I93" s="3"/>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2:43" x14ac:dyDescent="0.35">
      <c r="E94" s="32" t="s">
        <v>764</v>
      </c>
      <c r="G94" s="13"/>
      <c r="H94" s="213" t="s">
        <v>545</v>
      </c>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3" x14ac:dyDescent="0.35">
      <c r="E95" s="28"/>
      <c r="F95" s="23" t="s">
        <v>156</v>
      </c>
      <c r="G95" s="85" t="s">
        <v>277</v>
      </c>
      <c r="H95" s="126">
        <f t="shared" ref="H95:H101" si="0">SUM(J95:AO95)</f>
        <v>44951267.447441712</v>
      </c>
      <c r="I95" s="23"/>
      <c r="J95" s="126">
        <f t="shared" ref="J95:AO95" si="1">J22 * thousand * J55 / hundred</f>
        <v>28227232.368427631</v>
      </c>
      <c r="K95" s="126">
        <f t="shared" si="1"/>
        <v>822916.13153244031</v>
      </c>
      <c r="L95" s="126">
        <f t="shared" si="1"/>
        <v>0</v>
      </c>
      <c r="M95" s="126">
        <f t="shared" si="1"/>
        <v>345764.12860061094</v>
      </c>
      <c r="N95" s="126">
        <f t="shared" si="1"/>
        <v>1659736.151519957</v>
      </c>
      <c r="O95" s="126">
        <f t="shared" si="1"/>
        <v>2312552.0588841783</v>
      </c>
      <c r="P95" s="126">
        <f t="shared" si="1"/>
        <v>6120180.9008938698</v>
      </c>
      <c r="Q95" s="126">
        <f t="shared" si="1"/>
        <v>45717.871799126944</v>
      </c>
      <c r="R95" s="126">
        <f t="shared" si="1"/>
        <v>0</v>
      </c>
      <c r="S95" s="126">
        <f t="shared" si="1"/>
        <v>2081042.9608062024</v>
      </c>
      <c r="T95" s="126">
        <f t="shared" si="1"/>
        <v>2137982.4764530989</v>
      </c>
      <c r="U95" s="126">
        <f t="shared" si="1"/>
        <v>1616551.4259681308</v>
      </c>
      <c r="V95" s="126">
        <f t="shared" si="1"/>
        <v>4400140.0922342734</v>
      </c>
      <c r="W95" s="126">
        <f t="shared" si="1"/>
        <v>0</v>
      </c>
      <c r="X95" s="126">
        <f t="shared" si="1"/>
        <v>23869.331813133893</v>
      </c>
      <c r="Y95" s="126">
        <f t="shared" si="1"/>
        <v>14640.472448765227</v>
      </c>
      <c r="Z95" s="126">
        <f t="shared" si="1"/>
        <v>43374.341957657503</v>
      </c>
      <c r="AA95" s="126">
        <f t="shared" si="1"/>
        <v>338758.69140791794</v>
      </c>
      <c r="AB95" s="126">
        <f t="shared" si="1"/>
        <v>0</v>
      </c>
      <c r="AC95" s="126">
        <f t="shared" si="1"/>
        <v>180037.618434064</v>
      </c>
      <c r="AD95" s="126">
        <f t="shared" si="1"/>
        <v>500604.66332672839</v>
      </c>
      <c r="AE95" s="126">
        <f t="shared" si="1"/>
        <v>419141.23735000548</v>
      </c>
      <c r="AF95" s="126">
        <f t="shared" si="1"/>
        <v>841123.38004559698</v>
      </c>
      <c r="AG95" s="126">
        <f t="shared" si="1"/>
        <v>1048586.1338787863</v>
      </c>
      <c r="AH95" s="126">
        <f t="shared" si="1"/>
        <v>-44058.12263309121</v>
      </c>
      <c r="AI95" s="126">
        <f t="shared" si="1"/>
        <v>-12.06537</v>
      </c>
      <c r="AJ95" s="126">
        <f t="shared" si="1"/>
        <v>-2506836.1012246697</v>
      </c>
      <c r="AK95" s="126">
        <f t="shared" si="1"/>
        <v>0</v>
      </c>
      <c r="AL95" s="126">
        <f t="shared" si="1"/>
        <v>-19650.284506354838</v>
      </c>
      <c r="AM95" s="126">
        <f t="shared" si="1"/>
        <v>0</v>
      </c>
      <c r="AN95" s="126">
        <f t="shared" si="1"/>
        <v>-5658128.4166063536</v>
      </c>
      <c r="AO95" s="126">
        <f t="shared" si="1"/>
        <v>0</v>
      </c>
    </row>
    <row r="96" spans="2:43" x14ac:dyDescent="0.35">
      <c r="E96" s="28"/>
      <c r="F96" t="s">
        <v>157</v>
      </c>
      <c r="G96" s="13" t="s">
        <v>277</v>
      </c>
      <c r="H96" s="98">
        <f t="shared" si="0"/>
        <v>43515491.499051057</v>
      </c>
      <c r="J96" s="98">
        <f t="shared" ref="J96:AO96" si="2">J23 * thousand * J56 / hundred</f>
        <v>22496191.389865912</v>
      </c>
      <c r="K96" s="98">
        <f t="shared" si="2"/>
        <v>2663949.6087623183</v>
      </c>
      <c r="L96" s="98">
        <f t="shared" si="2"/>
        <v>0</v>
      </c>
      <c r="M96" s="98">
        <f t="shared" si="2"/>
        <v>374100.177203067</v>
      </c>
      <c r="N96" s="98">
        <f t="shared" si="2"/>
        <v>1795754.7849365168</v>
      </c>
      <c r="O96" s="98">
        <f t="shared" si="2"/>
        <v>2502070.2364969379</v>
      </c>
      <c r="P96" s="98">
        <f t="shared" si="2"/>
        <v>6621741.7312941477</v>
      </c>
      <c r="Q96" s="98">
        <f t="shared" si="2"/>
        <v>186157.6746410167</v>
      </c>
      <c r="R96" s="98">
        <f t="shared" si="2"/>
        <v>0</v>
      </c>
      <c r="S96" s="98">
        <f t="shared" si="2"/>
        <v>2107552.5291905175</v>
      </c>
      <c r="T96" s="98">
        <f t="shared" si="2"/>
        <v>2165217.3744015987</v>
      </c>
      <c r="U96" s="98">
        <f t="shared" si="2"/>
        <v>1637144.0237090553</v>
      </c>
      <c r="V96" s="98">
        <f t="shared" si="2"/>
        <v>4456191.7052343544</v>
      </c>
      <c r="W96" s="98">
        <f t="shared" si="2"/>
        <v>0</v>
      </c>
      <c r="X96" s="98">
        <f t="shared" si="2"/>
        <v>20401.561857771037</v>
      </c>
      <c r="Y96" s="98">
        <f t="shared" si="2"/>
        <v>12513.484107088647</v>
      </c>
      <c r="Z96" s="98">
        <f t="shared" si="2"/>
        <v>37072.856811280843</v>
      </c>
      <c r="AA96" s="98">
        <f t="shared" si="2"/>
        <v>289543.35428080044</v>
      </c>
      <c r="AB96" s="98">
        <f t="shared" si="2"/>
        <v>0</v>
      </c>
      <c r="AC96" s="98">
        <f t="shared" si="2"/>
        <v>154382.6698158659</v>
      </c>
      <c r="AD96" s="98">
        <f t="shared" si="2"/>
        <v>429269.64441577153</v>
      </c>
      <c r="AE96" s="98">
        <f t="shared" si="2"/>
        <v>359414.57021504501</v>
      </c>
      <c r="AF96" s="98">
        <f t="shared" si="2"/>
        <v>721265.22326522437</v>
      </c>
      <c r="AG96" s="98">
        <f t="shared" si="2"/>
        <v>1428546.2156945488</v>
      </c>
      <c r="AH96" s="98">
        <f t="shared" si="2"/>
        <v>-49277.897192601682</v>
      </c>
      <c r="AI96" s="98">
        <f t="shared" si="2"/>
        <v>-17.331859999999999</v>
      </c>
      <c r="AJ96" s="98">
        <f t="shared" si="2"/>
        <v>-2493542.6095431773</v>
      </c>
      <c r="AK96" s="98">
        <f t="shared" si="2"/>
        <v>0</v>
      </c>
      <c r="AL96" s="98">
        <f t="shared" si="2"/>
        <v>-18540.175807787346</v>
      </c>
      <c r="AM96" s="98">
        <f t="shared" si="2"/>
        <v>0</v>
      </c>
      <c r="AN96" s="98">
        <f t="shared" si="2"/>
        <v>-4381611.30274422</v>
      </c>
      <c r="AO96" s="98">
        <f t="shared" si="2"/>
        <v>0</v>
      </c>
    </row>
    <row r="97" spans="5:41" x14ac:dyDescent="0.35">
      <c r="E97" s="28"/>
      <c r="F97" t="s">
        <v>158</v>
      </c>
      <c r="G97" s="13" t="s">
        <v>277</v>
      </c>
      <c r="H97" s="98">
        <f t="shared" si="0"/>
        <v>13878807.136900207</v>
      </c>
      <c r="J97" s="98">
        <f t="shared" ref="J97:AO97" si="3">J24 * thousand * J57 / hundred</f>
        <v>6419844.2424118547</v>
      </c>
      <c r="K97" s="98">
        <f t="shared" si="3"/>
        <v>1339872.5835283201</v>
      </c>
      <c r="L97" s="98">
        <f t="shared" si="3"/>
        <v>0</v>
      </c>
      <c r="M97" s="98">
        <f t="shared" si="3"/>
        <v>87268.939313432245</v>
      </c>
      <c r="N97" s="98">
        <f t="shared" si="3"/>
        <v>418908.15588511212</v>
      </c>
      <c r="O97" s="98">
        <f t="shared" si="3"/>
        <v>583675.25313486066</v>
      </c>
      <c r="P97" s="98">
        <f t="shared" si="3"/>
        <v>1544699.5551243841</v>
      </c>
      <c r="Q97" s="98">
        <f t="shared" si="3"/>
        <v>103892.75207571652</v>
      </c>
      <c r="R97" s="98">
        <f t="shared" si="3"/>
        <v>0</v>
      </c>
      <c r="S97" s="98">
        <f t="shared" si="3"/>
        <v>590182.19979909412</v>
      </c>
      <c r="T97" s="98">
        <f t="shared" si="3"/>
        <v>606330.20309978607</v>
      </c>
      <c r="U97" s="98">
        <f t="shared" si="3"/>
        <v>458452.7540443606</v>
      </c>
      <c r="V97" s="98">
        <f t="shared" si="3"/>
        <v>1247876.3812030924</v>
      </c>
      <c r="W97" s="98">
        <f t="shared" si="3"/>
        <v>0</v>
      </c>
      <c r="X97" s="98">
        <f t="shared" si="3"/>
        <v>7222.4864552273302</v>
      </c>
      <c r="Y97" s="98">
        <f t="shared" si="3"/>
        <v>4429.9779644921973</v>
      </c>
      <c r="Z97" s="98">
        <f t="shared" si="3"/>
        <v>13124.397437937721</v>
      </c>
      <c r="AA97" s="98">
        <f t="shared" si="3"/>
        <v>102503.08133627594</v>
      </c>
      <c r="AB97" s="98">
        <f t="shared" si="3"/>
        <v>0</v>
      </c>
      <c r="AC97" s="98">
        <f t="shared" si="3"/>
        <v>55417.337653227252</v>
      </c>
      <c r="AD97" s="98">
        <f t="shared" si="3"/>
        <v>154091.00553347744</v>
      </c>
      <c r="AE97" s="98">
        <f t="shared" si="3"/>
        <v>129015.76724157516</v>
      </c>
      <c r="AF97" s="98">
        <f t="shared" si="3"/>
        <v>258905.99289993304</v>
      </c>
      <c r="AG97" s="98">
        <f t="shared" si="3"/>
        <v>2389570.402968836</v>
      </c>
      <c r="AH97" s="98">
        <f t="shared" si="3"/>
        <v>-10350.584739654463</v>
      </c>
      <c r="AI97" s="98">
        <f t="shared" si="3"/>
        <v>-2.8014000000000006</v>
      </c>
      <c r="AJ97" s="98">
        <f t="shared" si="3"/>
        <v>-946254.62183008005</v>
      </c>
      <c r="AK97" s="98">
        <f t="shared" si="3"/>
        <v>0</v>
      </c>
      <c r="AL97" s="98">
        <f t="shared" si="3"/>
        <v>-6833.1392941935474</v>
      </c>
      <c r="AM97" s="98">
        <f t="shared" si="3"/>
        <v>0</v>
      </c>
      <c r="AN97" s="98">
        <f t="shared" si="3"/>
        <v>-1673035.1849468634</v>
      </c>
      <c r="AO97" s="98">
        <f t="shared" si="3"/>
        <v>0</v>
      </c>
    </row>
    <row r="98" spans="5:41" x14ac:dyDescent="0.35">
      <c r="E98" s="28"/>
      <c r="F98" s="23" t="s">
        <v>159</v>
      </c>
      <c r="G98" s="85" t="s">
        <v>277</v>
      </c>
      <c r="H98" s="126">
        <f t="shared" si="0"/>
        <v>106391843.83609779</v>
      </c>
      <c r="I98" s="23"/>
      <c r="J98" s="126">
        <f t="shared" ref="J98:AO98" si="4" xml:space="preserve"> J25 * J58 * days_in_year / hundred</f>
        <v>70950006.820090413</v>
      </c>
      <c r="K98" s="126">
        <f t="shared" si="4"/>
        <v>0</v>
      </c>
      <c r="L98" s="126">
        <f t="shared" si="4"/>
        <v>0</v>
      </c>
      <c r="M98" s="126">
        <f t="shared" si="4"/>
        <v>1382588.630377674</v>
      </c>
      <c r="N98" s="126">
        <f t="shared" si="4"/>
        <v>2361272.6031204723</v>
      </c>
      <c r="O98" s="126">
        <f t="shared" si="4"/>
        <v>2569976.4816953084</v>
      </c>
      <c r="P98" s="126">
        <f t="shared" si="4"/>
        <v>5899157.4411641285</v>
      </c>
      <c r="Q98" s="126">
        <f t="shared" si="4"/>
        <v>0</v>
      </c>
      <c r="R98" s="126">
        <f t="shared" si="4"/>
        <v>0</v>
      </c>
      <c r="S98" s="126">
        <f t="shared" si="4"/>
        <v>2994830.3345667147</v>
      </c>
      <c r="T98" s="126">
        <f t="shared" si="4"/>
        <v>2882612.5515900184</v>
      </c>
      <c r="U98" s="126">
        <f t="shared" si="4"/>
        <v>2156797.0156600513</v>
      </c>
      <c r="V98" s="126">
        <f t="shared" si="4"/>
        <v>6060661.9748604801</v>
      </c>
      <c r="W98" s="126">
        <f t="shared" si="4"/>
        <v>0</v>
      </c>
      <c r="X98" s="126">
        <f t="shared" si="4"/>
        <v>10410.960092231913</v>
      </c>
      <c r="Y98" s="126">
        <f t="shared" si="4"/>
        <v>23440.067763091251</v>
      </c>
      <c r="Z98" s="126">
        <f t="shared" si="4"/>
        <v>74059.66190235308</v>
      </c>
      <c r="AA98" s="126">
        <f t="shared" si="4"/>
        <v>446829.682393405</v>
      </c>
      <c r="AB98" s="126">
        <f t="shared" si="4"/>
        <v>0</v>
      </c>
      <c r="AC98" s="126">
        <f t="shared" si="4"/>
        <v>1162559.6090158194</v>
      </c>
      <c r="AD98" s="126">
        <f t="shared" si="4"/>
        <v>2008979.1544476335</v>
      </c>
      <c r="AE98" s="126">
        <f t="shared" si="4"/>
        <v>1601229.8318177918</v>
      </c>
      <c r="AF98" s="126">
        <f t="shared" si="4"/>
        <v>3136548.4700563438</v>
      </c>
      <c r="AG98" s="126">
        <f t="shared" si="4"/>
        <v>0</v>
      </c>
      <c r="AH98" s="126">
        <f t="shared" si="4"/>
        <v>0</v>
      </c>
      <c r="AI98" s="126">
        <f t="shared" si="4"/>
        <v>0</v>
      </c>
      <c r="AJ98" s="126">
        <f t="shared" si="4"/>
        <v>0</v>
      </c>
      <c r="AK98" s="126">
        <f t="shared" si="4"/>
        <v>0</v>
      </c>
      <c r="AL98" s="126">
        <f t="shared" si="4"/>
        <v>0</v>
      </c>
      <c r="AM98" s="126">
        <f t="shared" si="4"/>
        <v>0</v>
      </c>
      <c r="AN98" s="126">
        <f t="shared" si="4"/>
        <v>669882.54548387113</v>
      </c>
      <c r="AO98" s="126">
        <f t="shared" si="4"/>
        <v>0</v>
      </c>
    </row>
    <row r="99" spans="5:41" x14ac:dyDescent="0.35">
      <c r="E99" s="28"/>
      <c r="F99" t="s">
        <v>160</v>
      </c>
      <c r="G99" s="13" t="s">
        <v>277</v>
      </c>
      <c r="H99" s="98">
        <f t="shared" si="0"/>
        <v>35593941.463979855</v>
      </c>
      <c r="J99" s="98">
        <f t="shared" ref="J99:AO99" si="5" xml:space="preserve"> J26 * J59 * days_in_year / hundred</f>
        <v>0</v>
      </c>
      <c r="K99" s="98">
        <f t="shared" si="5"/>
        <v>0</v>
      </c>
      <c r="L99" s="98">
        <f t="shared" si="5"/>
        <v>0</v>
      </c>
      <c r="M99" s="98">
        <f t="shared" si="5"/>
        <v>0</v>
      </c>
      <c r="N99" s="98">
        <f t="shared" si="5"/>
        <v>0</v>
      </c>
      <c r="O99" s="98">
        <f t="shared" si="5"/>
        <v>0</v>
      </c>
      <c r="P99" s="98">
        <f t="shared" si="5"/>
        <v>0</v>
      </c>
      <c r="Q99" s="98">
        <f t="shared" si="5"/>
        <v>0</v>
      </c>
      <c r="R99" s="98">
        <f t="shared" si="5"/>
        <v>0</v>
      </c>
      <c r="S99" s="98">
        <f t="shared" si="5"/>
        <v>3559243.8542787042</v>
      </c>
      <c r="T99" s="98">
        <f t="shared" si="5"/>
        <v>3656628.495032738</v>
      </c>
      <c r="U99" s="98">
        <f t="shared" si="5"/>
        <v>2764815.9294960173</v>
      </c>
      <c r="V99" s="98">
        <f t="shared" si="5"/>
        <v>7525635.8836450828</v>
      </c>
      <c r="W99" s="98">
        <f t="shared" si="5"/>
        <v>0</v>
      </c>
      <c r="X99" s="98">
        <f t="shared" si="5"/>
        <v>77468.541444913295</v>
      </c>
      <c r="Y99" s="98">
        <f t="shared" si="5"/>
        <v>47516.036709758657</v>
      </c>
      <c r="Z99" s="98">
        <f t="shared" si="5"/>
        <v>140772.5626296644</v>
      </c>
      <c r="AA99" s="98">
        <f t="shared" si="5"/>
        <v>1099450.2037429812</v>
      </c>
      <c r="AB99" s="98">
        <f t="shared" si="5"/>
        <v>0</v>
      </c>
      <c r="AC99" s="98">
        <f t="shared" si="5"/>
        <v>1551162.9457574326</v>
      </c>
      <c r="AD99" s="98">
        <f t="shared" si="5"/>
        <v>4313095.2907499382</v>
      </c>
      <c r="AE99" s="98">
        <f t="shared" si="5"/>
        <v>3611225.0432503885</v>
      </c>
      <c r="AF99" s="98">
        <f t="shared" si="5"/>
        <v>7246926.6772422334</v>
      </c>
      <c r="AG99" s="98">
        <f t="shared" si="5"/>
        <v>0</v>
      </c>
      <c r="AH99" s="98">
        <f t="shared" si="5"/>
        <v>0</v>
      </c>
      <c r="AI99" s="98">
        <f t="shared" si="5"/>
        <v>0</v>
      </c>
      <c r="AJ99" s="98">
        <f t="shared" si="5"/>
        <v>0</v>
      </c>
      <c r="AK99" s="98">
        <f t="shared" si="5"/>
        <v>0</v>
      </c>
      <c r="AL99" s="98">
        <f t="shared" si="5"/>
        <v>0</v>
      </c>
      <c r="AM99" s="98">
        <f t="shared" si="5"/>
        <v>0</v>
      </c>
      <c r="AN99" s="98">
        <f t="shared" si="5"/>
        <v>0</v>
      </c>
      <c r="AO99" s="98">
        <f t="shared" si="5"/>
        <v>0</v>
      </c>
    </row>
    <row r="100" spans="5:41" x14ac:dyDescent="0.35">
      <c r="E100" s="28"/>
      <c r="F100" t="s">
        <v>161</v>
      </c>
      <c r="G100" s="13" t="s">
        <v>277</v>
      </c>
      <c r="H100" s="98">
        <f t="shared" si="0"/>
        <v>1189209.5886171965</v>
      </c>
      <c r="J100" s="98">
        <f t="shared" ref="J100:AO100" si="6" xml:space="preserve"> J27 * J60 * days_in_year / hundred</f>
        <v>0</v>
      </c>
      <c r="K100" s="98">
        <f t="shared" si="6"/>
        <v>0</v>
      </c>
      <c r="L100" s="98">
        <f t="shared" si="6"/>
        <v>0</v>
      </c>
      <c r="M100" s="98">
        <f t="shared" si="6"/>
        <v>0</v>
      </c>
      <c r="N100" s="98">
        <f t="shared" si="6"/>
        <v>0</v>
      </c>
      <c r="O100" s="98">
        <f t="shared" si="6"/>
        <v>0</v>
      </c>
      <c r="P100" s="98">
        <f t="shared" si="6"/>
        <v>0</v>
      </c>
      <c r="Q100" s="98">
        <f t="shared" si="6"/>
        <v>0</v>
      </c>
      <c r="R100" s="98">
        <f t="shared" si="6"/>
        <v>0</v>
      </c>
      <c r="S100" s="98">
        <f t="shared" si="6"/>
        <v>126335.56487730081</v>
      </c>
      <c r="T100" s="98">
        <f t="shared" si="6"/>
        <v>129792.23828989768</v>
      </c>
      <c r="U100" s="98">
        <f t="shared" si="6"/>
        <v>98137.300093877653</v>
      </c>
      <c r="V100" s="98">
        <f t="shared" si="6"/>
        <v>267122.87759610714</v>
      </c>
      <c r="W100" s="98">
        <f t="shared" si="6"/>
        <v>0</v>
      </c>
      <c r="X100" s="98">
        <f t="shared" si="6"/>
        <v>3170.5844332937413</v>
      </c>
      <c r="Y100" s="98">
        <f t="shared" si="6"/>
        <v>1944.7068902272058</v>
      </c>
      <c r="Z100" s="98">
        <f t="shared" si="6"/>
        <v>5761.4521634676912</v>
      </c>
      <c r="AA100" s="98">
        <f t="shared" si="6"/>
        <v>44997.616273024818</v>
      </c>
      <c r="AB100" s="98">
        <f t="shared" si="6"/>
        <v>0</v>
      </c>
      <c r="AC100" s="98">
        <f t="shared" si="6"/>
        <v>47487.987875077495</v>
      </c>
      <c r="AD100" s="98">
        <f t="shared" si="6"/>
        <v>132043.00517323997</v>
      </c>
      <c r="AE100" s="98">
        <f t="shared" si="6"/>
        <v>110555.63926220027</v>
      </c>
      <c r="AF100" s="98">
        <f t="shared" si="6"/>
        <v>221860.61568948213</v>
      </c>
      <c r="AG100" s="98">
        <f t="shared" si="6"/>
        <v>0</v>
      </c>
      <c r="AH100" s="98">
        <f t="shared" si="6"/>
        <v>0</v>
      </c>
      <c r="AI100" s="98">
        <f t="shared" si="6"/>
        <v>0</v>
      </c>
      <c r="AJ100" s="98">
        <f t="shared" si="6"/>
        <v>0</v>
      </c>
      <c r="AK100" s="98">
        <f t="shared" si="6"/>
        <v>0</v>
      </c>
      <c r="AL100" s="98">
        <f t="shared" si="6"/>
        <v>0</v>
      </c>
      <c r="AM100" s="98">
        <f t="shared" si="6"/>
        <v>0</v>
      </c>
      <c r="AN100" s="98">
        <f t="shared" si="6"/>
        <v>0</v>
      </c>
      <c r="AO100" s="98">
        <f t="shared" si="6"/>
        <v>0</v>
      </c>
    </row>
    <row r="101" spans="5:41" x14ac:dyDescent="0.35">
      <c r="E101" s="28"/>
      <c r="F101" s="23" t="s">
        <v>162</v>
      </c>
      <c r="G101" s="85" t="s">
        <v>277</v>
      </c>
      <c r="H101" s="126">
        <f t="shared" si="0"/>
        <v>726721.84573817253</v>
      </c>
      <c r="I101" s="23"/>
      <c r="J101" s="126">
        <f t="shared" ref="J101:AO101" si="7">J28 * thousand * J61 / hundred</f>
        <v>0</v>
      </c>
      <c r="K101" s="126">
        <f t="shared" si="7"/>
        <v>0</v>
      </c>
      <c r="L101" s="126">
        <f t="shared" si="7"/>
        <v>0</v>
      </c>
      <c r="M101" s="126">
        <f t="shared" si="7"/>
        <v>0</v>
      </c>
      <c r="N101" s="126">
        <f t="shared" si="7"/>
        <v>0</v>
      </c>
      <c r="O101" s="126">
        <f t="shared" si="7"/>
        <v>0</v>
      </c>
      <c r="P101" s="126">
        <f t="shared" si="7"/>
        <v>0</v>
      </c>
      <c r="Q101" s="126">
        <f t="shared" si="7"/>
        <v>0</v>
      </c>
      <c r="R101" s="126">
        <f t="shared" si="7"/>
        <v>0</v>
      </c>
      <c r="S101" s="126">
        <f t="shared" si="7"/>
        <v>96834.527317376022</v>
      </c>
      <c r="T101" s="126">
        <f t="shared" si="7"/>
        <v>99484.021435081086</v>
      </c>
      <c r="U101" s="126">
        <f t="shared" si="7"/>
        <v>75220.933044655074</v>
      </c>
      <c r="V101" s="126">
        <f t="shared" si="7"/>
        <v>204746.12681550524</v>
      </c>
      <c r="W101" s="126">
        <f t="shared" si="7"/>
        <v>0</v>
      </c>
      <c r="X101" s="126">
        <f t="shared" si="7"/>
        <v>687.9974153203417</v>
      </c>
      <c r="Y101" s="126">
        <f t="shared" si="7"/>
        <v>421.98949190009523</v>
      </c>
      <c r="Z101" s="126">
        <f t="shared" si="7"/>
        <v>1250.1998544286446</v>
      </c>
      <c r="AA101" s="126">
        <f t="shared" si="7"/>
        <v>9764.2073071231389</v>
      </c>
      <c r="AB101" s="126">
        <f t="shared" si="7"/>
        <v>0</v>
      </c>
      <c r="AC101" s="126">
        <f t="shared" si="7"/>
        <v>11663.924379662181</v>
      </c>
      <c r="AD101" s="126">
        <f t="shared" si="7"/>
        <v>32432.193826689916</v>
      </c>
      <c r="AE101" s="126">
        <f t="shared" si="7"/>
        <v>27154.501039120118</v>
      </c>
      <c r="AF101" s="126">
        <f t="shared" si="7"/>
        <v>54493.053086073509</v>
      </c>
      <c r="AG101" s="126">
        <f t="shared" si="7"/>
        <v>0</v>
      </c>
      <c r="AH101" s="126">
        <f t="shared" si="7"/>
        <v>0</v>
      </c>
      <c r="AI101" s="126">
        <f t="shared" si="7"/>
        <v>0</v>
      </c>
      <c r="AJ101" s="126">
        <f t="shared" si="7"/>
        <v>34538.120544850288</v>
      </c>
      <c r="AK101" s="126">
        <f t="shared" si="7"/>
        <v>0</v>
      </c>
      <c r="AL101" s="126">
        <f t="shared" si="7"/>
        <v>0</v>
      </c>
      <c r="AM101" s="126">
        <f t="shared" si="7"/>
        <v>0</v>
      </c>
      <c r="AN101" s="126">
        <f t="shared" si="7"/>
        <v>78030.050180386941</v>
      </c>
      <c r="AO101" s="126">
        <f t="shared" si="7"/>
        <v>0</v>
      </c>
    </row>
    <row r="102" spans="5:41" x14ac:dyDescent="0.35">
      <c r="E102" s="28"/>
      <c r="F102" s="108" t="s">
        <v>100</v>
      </c>
      <c r="G102" s="214" t="s">
        <v>277</v>
      </c>
      <c r="H102" s="153">
        <f>SUM(H95:H101)</f>
        <v>246247282.81782597</v>
      </c>
      <c r="I102" s="54"/>
      <c r="J102" s="153">
        <f t="shared" ref="J102" si="8">SUM(J95:J101)</f>
        <v>128093274.8207958</v>
      </c>
      <c r="K102" s="153">
        <f t="shared" ref="K102:AO102" si="9">SUM(K95:K101)</f>
        <v>4826738.3238230785</v>
      </c>
      <c r="L102" s="153">
        <f t="shared" si="9"/>
        <v>0</v>
      </c>
      <c r="M102" s="153">
        <f t="shared" si="9"/>
        <v>2189721.8754947842</v>
      </c>
      <c r="N102" s="153">
        <f t="shared" si="9"/>
        <v>6235671.6954620574</v>
      </c>
      <c r="O102" s="153">
        <f t="shared" si="9"/>
        <v>7968274.0302112848</v>
      </c>
      <c r="P102" s="153">
        <f t="shared" si="9"/>
        <v>20185779.62847653</v>
      </c>
      <c r="Q102" s="153">
        <f t="shared" si="9"/>
        <v>335768.29851586017</v>
      </c>
      <c r="R102" s="153">
        <f t="shared" si="9"/>
        <v>0</v>
      </c>
      <c r="S102" s="153">
        <f t="shared" si="9"/>
        <v>11556021.970835911</v>
      </c>
      <c r="T102" s="153">
        <f t="shared" si="9"/>
        <v>11678047.360302219</v>
      </c>
      <c r="U102" s="153">
        <f t="shared" si="9"/>
        <v>8807119.3820161484</v>
      </c>
      <c r="V102" s="153">
        <f t="shared" si="9"/>
        <v>24162375.041588895</v>
      </c>
      <c r="W102" s="153">
        <f t="shared" si="9"/>
        <v>0</v>
      </c>
      <c r="X102" s="153">
        <f t="shared" si="9"/>
        <v>143231.46351189152</v>
      </c>
      <c r="Y102" s="153">
        <f t="shared" si="9"/>
        <v>104906.73537532327</v>
      </c>
      <c r="Z102" s="153">
        <f t="shared" si="9"/>
        <v>315415.47275678994</v>
      </c>
      <c r="AA102" s="153">
        <f t="shared" si="9"/>
        <v>2331846.8367415289</v>
      </c>
      <c r="AB102" s="153">
        <f t="shared" si="9"/>
        <v>0</v>
      </c>
      <c r="AC102" s="153">
        <f t="shared" si="9"/>
        <v>3162712.0929311486</v>
      </c>
      <c r="AD102" s="153">
        <f t="shared" si="9"/>
        <v>7570514.9574734792</v>
      </c>
      <c r="AE102" s="153">
        <f t="shared" si="9"/>
        <v>6257736.590176126</v>
      </c>
      <c r="AF102" s="153">
        <f t="shared" si="9"/>
        <v>12481123.412284888</v>
      </c>
      <c r="AG102" s="153">
        <f t="shared" si="9"/>
        <v>4866702.7525421716</v>
      </c>
      <c r="AH102" s="153">
        <f t="shared" si="9"/>
        <v>-103686.60456534737</v>
      </c>
      <c r="AI102" s="153">
        <f t="shared" si="9"/>
        <v>-32.198630000000001</v>
      </c>
      <c r="AJ102" s="153">
        <f t="shared" si="9"/>
        <v>-5912095.2120530764</v>
      </c>
      <c r="AK102" s="153">
        <f t="shared" si="9"/>
        <v>0</v>
      </c>
      <c r="AL102" s="153">
        <f t="shared" si="9"/>
        <v>-45023.599608335731</v>
      </c>
      <c r="AM102" s="153">
        <f t="shared" si="9"/>
        <v>0</v>
      </c>
      <c r="AN102" s="153">
        <f t="shared" si="9"/>
        <v>-10964862.308633178</v>
      </c>
      <c r="AO102" s="153">
        <f t="shared" si="9"/>
        <v>0</v>
      </c>
    </row>
    <row r="103" spans="5:41" x14ac:dyDescent="0.35">
      <c r="E103" s="28"/>
      <c r="G103" s="13"/>
      <c r="H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row>
    <row r="104" spans="5:41" x14ac:dyDescent="0.35">
      <c r="E104" s="32" t="s">
        <v>765</v>
      </c>
      <c r="G104" s="13"/>
      <c r="H104" s="213" t="s">
        <v>545</v>
      </c>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5:41" x14ac:dyDescent="0.35">
      <c r="E105" s="28"/>
      <c r="F105" s="23" t="s">
        <v>156</v>
      </c>
      <c r="G105" s="85" t="s">
        <v>277</v>
      </c>
      <c r="H105" s="126">
        <f t="shared" ref="H105:H111" si="10">SUM(J105:AO105)</f>
        <v>90603.204535437791</v>
      </c>
      <c r="I105" s="23"/>
      <c r="J105" s="126">
        <f t="shared" ref="J105:AO105" si="11">J33 * thousand * J64 / hundred</f>
        <v>77749.37265651366</v>
      </c>
      <c r="K105" s="126">
        <f t="shared" si="11"/>
        <v>0</v>
      </c>
      <c r="L105" s="126">
        <f t="shared" si="11"/>
        <v>0</v>
      </c>
      <c r="M105" s="126">
        <f t="shared" si="11"/>
        <v>36.225233366197187</v>
      </c>
      <c r="N105" s="126">
        <f t="shared" si="11"/>
        <v>173.88827944200514</v>
      </c>
      <c r="O105" s="126">
        <f t="shared" si="11"/>
        <v>242.28290639519827</v>
      </c>
      <c r="P105" s="126">
        <f t="shared" si="11"/>
        <v>641.20295611784752</v>
      </c>
      <c r="Q105" s="126">
        <f t="shared" si="11"/>
        <v>0</v>
      </c>
      <c r="R105" s="126">
        <f t="shared" si="11"/>
        <v>0</v>
      </c>
      <c r="S105" s="126">
        <f t="shared" si="11"/>
        <v>2280.5815660546004</v>
      </c>
      <c r="T105" s="126">
        <f t="shared" si="11"/>
        <v>2342.9806669910286</v>
      </c>
      <c r="U105" s="126">
        <f t="shared" si="11"/>
        <v>1771.5527512291083</v>
      </c>
      <c r="V105" s="126">
        <f t="shared" si="11"/>
        <v>4822.0428753281149</v>
      </c>
      <c r="W105" s="126">
        <f t="shared" si="11"/>
        <v>0</v>
      </c>
      <c r="X105" s="126">
        <f t="shared" si="11"/>
        <v>0</v>
      </c>
      <c r="Y105" s="126">
        <f t="shared" si="11"/>
        <v>0</v>
      </c>
      <c r="Z105" s="126">
        <f t="shared" si="11"/>
        <v>0</v>
      </c>
      <c r="AA105" s="126">
        <f t="shared" si="11"/>
        <v>0</v>
      </c>
      <c r="AB105" s="126">
        <f t="shared" si="11"/>
        <v>0</v>
      </c>
      <c r="AC105" s="126">
        <f t="shared" si="11"/>
        <v>0</v>
      </c>
      <c r="AD105" s="126">
        <f t="shared" si="11"/>
        <v>0</v>
      </c>
      <c r="AE105" s="126">
        <f t="shared" si="11"/>
        <v>0</v>
      </c>
      <c r="AF105" s="126">
        <f t="shared" si="11"/>
        <v>0</v>
      </c>
      <c r="AG105" s="126">
        <f t="shared" si="11"/>
        <v>543.07464400000072</v>
      </c>
      <c r="AH105" s="126">
        <f t="shared" si="11"/>
        <v>0</v>
      </c>
      <c r="AI105" s="126">
        <f t="shared" si="11"/>
        <v>0</v>
      </c>
      <c r="AJ105" s="126">
        <f t="shared" si="11"/>
        <v>0</v>
      </c>
      <c r="AK105" s="126">
        <f t="shared" si="11"/>
        <v>0</v>
      </c>
      <c r="AL105" s="126">
        <f t="shared" si="11"/>
        <v>0</v>
      </c>
      <c r="AM105" s="126">
        <f t="shared" si="11"/>
        <v>0</v>
      </c>
      <c r="AN105" s="126">
        <f t="shared" si="11"/>
        <v>0</v>
      </c>
      <c r="AO105" s="126">
        <f t="shared" si="11"/>
        <v>0</v>
      </c>
    </row>
    <row r="106" spans="5:41" x14ac:dyDescent="0.35">
      <c r="E106" s="28"/>
      <c r="F106" t="s">
        <v>157</v>
      </c>
      <c r="G106" s="13" t="s">
        <v>277</v>
      </c>
      <c r="H106" s="98">
        <f t="shared" si="10"/>
        <v>75018.162338075868</v>
      </c>
      <c r="J106" s="98">
        <f t="shared" ref="J106:AO106" si="12">J34 * thousand * J65 / hundred</f>
        <v>55954.299366870066</v>
      </c>
      <c r="K106" s="98">
        <f t="shared" si="12"/>
        <v>0</v>
      </c>
      <c r="L106" s="98">
        <f t="shared" si="12"/>
        <v>0</v>
      </c>
      <c r="M106" s="98">
        <f t="shared" si="12"/>
        <v>44.077575966534489</v>
      </c>
      <c r="N106" s="98">
        <f t="shared" si="12"/>
        <v>211.58107580190207</v>
      </c>
      <c r="O106" s="98">
        <f t="shared" si="12"/>
        <v>294.80122609761366</v>
      </c>
      <c r="P106" s="98">
        <f t="shared" si="12"/>
        <v>780.19295893959975</v>
      </c>
      <c r="Q106" s="98">
        <f t="shared" si="12"/>
        <v>0</v>
      </c>
      <c r="R106" s="98">
        <f t="shared" si="12"/>
        <v>0</v>
      </c>
      <c r="S106" s="98">
        <f t="shared" si="12"/>
        <v>2574.3489896056913</v>
      </c>
      <c r="T106" s="98">
        <f t="shared" si="12"/>
        <v>2644.7858750208006</v>
      </c>
      <c r="U106" s="98">
        <f t="shared" si="12"/>
        <v>1999.7508982104305</v>
      </c>
      <c r="V106" s="98">
        <f t="shared" si="12"/>
        <v>5443.1822955632242</v>
      </c>
      <c r="W106" s="98">
        <f t="shared" si="12"/>
        <v>0</v>
      </c>
      <c r="X106" s="98">
        <f t="shared" si="12"/>
        <v>0</v>
      </c>
      <c r="Y106" s="98">
        <f t="shared" si="12"/>
        <v>0</v>
      </c>
      <c r="Z106" s="98">
        <f t="shared" si="12"/>
        <v>0</v>
      </c>
      <c r="AA106" s="98">
        <f t="shared" si="12"/>
        <v>0</v>
      </c>
      <c r="AB106" s="98">
        <f t="shared" si="12"/>
        <v>0</v>
      </c>
      <c r="AC106" s="98">
        <f t="shared" si="12"/>
        <v>0</v>
      </c>
      <c r="AD106" s="98">
        <f t="shared" si="12"/>
        <v>0</v>
      </c>
      <c r="AE106" s="98">
        <f t="shared" si="12"/>
        <v>0</v>
      </c>
      <c r="AF106" s="98">
        <f t="shared" si="12"/>
        <v>0</v>
      </c>
      <c r="AG106" s="98">
        <f t="shared" si="12"/>
        <v>5071.142076000001</v>
      </c>
      <c r="AH106" s="98">
        <f t="shared" si="12"/>
        <v>0</v>
      </c>
      <c r="AI106" s="98">
        <f t="shared" si="12"/>
        <v>0</v>
      </c>
      <c r="AJ106" s="98">
        <f t="shared" si="12"/>
        <v>0</v>
      </c>
      <c r="AK106" s="98">
        <f t="shared" si="12"/>
        <v>0</v>
      </c>
      <c r="AL106" s="98">
        <f t="shared" si="12"/>
        <v>0</v>
      </c>
      <c r="AM106" s="98">
        <f t="shared" si="12"/>
        <v>0</v>
      </c>
      <c r="AN106" s="98">
        <f t="shared" si="12"/>
        <v>0</v>
      </c>
      <c r="AO106" s="98">
        <f t="shared" si="12"/>
        <v>0</v>
      </c>
    </row>
    <row r="107" spans="5:41" x14ac:dyDescent="0.35">
      <c r="E107" s="28"/>
      <c r="F107" t="s">
        <v>158</v>
      </c>
      <c r="G107" s="13" t="s">
        <v>277</v>
      </c>
      <c r="H107" s="98">
        <f t="shared" si="10"/>
        <v>18252.212386033967</v>
      </c>
      <c r="J107" s="98">
        <f t="shared" ref="J107:AO107" si="13">J35 * thousand * J66 / hundred</f>
        <v>14452.908803904647</v>
      </c>
      <c r="K107" s="98">
        <f t="shared" si="13"/>
        <v>0</v>
      </c>
      <c r="L107" s="98">
        <f t="shared" si="13"/>
        <v>0</v>
      </c>
      <c r="M107" s="98">
        <f t="shared" si="13"/>
        <v>7.8155833058857977</v>
      </c>
      <c r="N107" s="98">
        <f t="shared" si="13"/>
        <v>37.516344481697608</v>
      </c>
      <c r="O107" s="98">
        <f t="shared" si="13"/>
        <v>52.27246486949506</v>
      </c>
      <c r="P107" s="98">
        <f t="shared" si="13"/>
        <v>138.33934674374055</v>
      </c>
      <c r="Q107" s="98">
        <f t="shared" si="13"/>
        <v>0</v>
      </c>
      <c r="R107" s="98">
        <f t="shared" si="13"/>
        <v>0</v>
      </c>
      <c r="S107" s="98">
        <f t="shared" si="13"/>
        <v>445.5363354880663</v>
      </c>
      <c r="T107" s="98">
        <f t="shared" si="13"/>
        <v>457.72667640056517</v>
      </c>
      <c r="U107" s="98">
        <f t="shared" si="13"/>
        <v>346.09203751124335</v>
      </c>
      <c r="V107" s="98">
        <f t="shared" si="13"/>
        <v>942.03835732862831</v>
      </c>
      <c r="W107" s="98">
        <f t="shared" si="13"/>
        <v>0</v>
      </c>
      <c r="X107" s="98">
        <f t="shared" si="13"/>
        <v>0</v>
      </c>
      <c r="Y107" s="98">
        <f t="shared" si="13"/>
        <v>0</v>
      </c>
      <c r="Z107" s="98">
        <f t="shared" si="13"/>
        <v>0</v>
      </c>
      <c r="AA107" s="98">
        <f t="shared" si="13"/>
        <v>0</v>
      </c>
      <c r="AB107" s="98">
        <f t="shared" si="13"/>
        <v>0</v>
      </c>
      <c r="AC107" s="98">
        <f t="shared" si="13"/>
        <v>0</v>
      </c>
      <c r="AD107" s="98">
        <f t="shared" si="13"/>
        <v>0</v>
      </c>
      <c r="AE107" s="98">
        <f t="shared" si="13"/>
        <v>0</v>
      </c>
      <c r="AF107" s="98">
        <f t="shared" si="13"/>
        <v>0</v>
      </c>
      <c r="AG107" s="98">
        <f t="shared" si="13"/>
        <v>1371.9664359999997</v>
      </c>
      <c r="AH107" s="98">
        <f t="shared" si="13"/>
        <v>0</v>
      </c>
      <c r="AI107" s="98">
        <f t="shared" si="13"/>
        <v>0</v>
      </c>
      <c r="AJ107" s="98">
        <f t="shared" si="13"/>
        <v>0</v>
      </c>
      <c r="AK107" s="98">
        <f t="shared" si="13"/>
        <v>0</v>
      </c>
      <c r="AL107" s="98">
        <f t="shared" si="13"/>
        <v>0</v>
      </c>
      <c r="AM107" s="98">
        <f t="shared" si="13"/>
        <v>0</v>
      </c>
      <c r="AN107" s="98">
        <f t="shared" si="13"/>
        <v>0</v>
      </c>
      <c r="AO107" s="98">
        <f t="shared" si="13"/>
        <v>0</v>
      </c>
    </row>
    <row r="108" spans="5:41" x14ac:dyDescent="0.35">
      <c r="E108" s="28"/>
      <c r="F108" s="23" t="s">
        <v>159</v>
      </c>
      <c r="G108" s="85" t="s">
        <v>277</v>
      </c>
      <c r="H108" s="126">
        <f t="shared" si="10"/>
        <v>267270.78491748619</v>
      </c>
      <c r="I108" s="23"/>
      <c r="J108" s="126">
        <f t="shared" ref="J108:AO108" si="14" xml:space="preserve"> J36 * J67 * days_in_year / hundred</f>
        <v>250617.5786774194</v>
      </c>
      <c r="K108" s="126">
        <f t="shared" si="14"/>
        <v>0</v>
      </c>
      <c r="L108" s="126">
        <f t="shared" si="14"/>
        <v>0</v>
      </c>
      <c r="M108" s="126">
        <f t="shared" si="14"/>
        <v>220.26249382121904</v>
      </c>
      <c r="N108" s="126">
        <f t="shared" si="14"/>
        <v>376.04783191776568</v>
      </c>
      <c r="O108" s="126">
        <f t="shared" si="14"/>
        <v>409.1981546606732</v>
      </c>
      <c r="P108" s="126">
        <f t="shared" si="14"/>
        <v>939.00569500598567</v>
      </c>
      <c r="Q108" s="126">
        <f t="shared" si="14"/>
        <v>0</v>
      </c>
      <c r="R108" s="126">
        <f t="shared" si="14"/>
        <v>0</v>
      </c>
      <c r="S108" s="126">
        <f t="shared" si="14"/>
        <v>3125.3872941541322</v>
      </c>
      <c r="T108" s="126">
        <f t="shared" si="14"/>
        <v>3008.1987494185146</v>
      </c>
      <c r="U108" s="126">
        <f t="shared" si="14"/>
        <v>2250.6842921383159</v>
      </c>
      <c r="V108" s="126">
        <f t="shared" si="14"/>
        <v>6324.4217289502258</v>
      </c>
      <c r="W108" s="126">
        <f t="shared" si="14"/>
        <v>0</v>
      </c>
      <c r="X108" s="126">
        <f t="shared" si="14"/>
        <v>0</v>
      </c>
      <c r="Y108" s="126">
        <f t="shared" si="14"/>
        <v>0</v>
      </c>
      <c r="Z108" s="126">
        <f t="shared" si="14"/>
        <v>0</v>
      </c>
      <c r="AA108" s="126">
        <f t="shared" si="14"/>
        <v>0</v>
      </c>
      <c r="AB108" s="126">
        <f t="shared" si="14"/>
        <v>0</v>
      </c>
      <c r="AC108" s="126">
        <f t="shared" si="14"/>
        <v>0</v>
      </c>
      <c r="AD108" s="126">
        <f t="shared" si="14"/>
        <v>0</v>
      </c>
      <c r="AE108" s="126">
        <f t="shared" si="14"/>
        <v>0</v>
      </c>
      <c r="AF108" s="126">
        <f t="shared" si="14"/>
        <v>0</v>
      </c>
      <c r="AG108" s="126">
        <f t="shared" si="14"/>
        <v>0</v>
      </c>
      <c r="AH108" s="126">
        <f t="shared" si="14"/>
        <v>0</v>
      </c>
      <c r="AI108" s="126">
        <f t="shared" si="14"/>
        <v>0</v>
      </c>
      <c r="AJ108" s="126">
        <f t="shared" si="14"/>
        <v>0</v>
      </c>
      <c r="AK108" s="126">
        <f t="shared" si="14"/>
        <v>0</v>
      </c>
      <c r="AL108" s="126">
        <f t="shared" si="14"/>
        <v>0</v>
      </c>
      <c r="AM108" s="126">
        <f t="shared" si="14"/>
        <v>0</v>
      </c>
      <c r="AN108" s="126">
        <f t="shared" si="14"/>
        <v>0</v>
      </c>
      <c r="AO108" s="126">
        <f t="shared" si="14"/>
        <v>0</v>
      </c>
    </row>
    <row r="109" spans="5:41" x14ac:dyDescent="0.35">
      <c r="E109" s="28"/>
      <c r="F109" t="s">
        <v>160</v>
      </c>
      <c r="G109" s="13" t="s">
        <v>277</v>
      </c>
      <c r="H109" s="98">
        <f t="shared" si="10"/>
        <v>30915.499999999993</v>
      </c>
      <c r="J109" s="98">
        <f t="shared" ref="J109:AO109" si="15" xml:space="preserve"> J37 * J68 * days_in_year / hundred</f>
        <v>0</v>
      </c>
      <c r="K109" s="98">
        <f t="shared" si="15"/>
        <v>0</v>
      </c>
      <c r="L109" s="98">
        <f t="shared" si="15"/>
        <v>0</v>
      </c>
      <c r="M109" s="98">
        <f t="shared" si="15"/>
        <v>0</v>
      </c>
      <c r="N109" s="98">
        <f t="shared" si="15"/>
        <v>0</v>
      </c>
      <c r="O109" s="98">
        <f t="shared" si="15"/>
        <v>0</v>
      </c>
      <c r="P109" s="98">
        <f t="shared" si="15"/>
        <v>0</v>
      </c>
      <c r="Q109" s="98">
        <f t="shared" si="15"/>
        <v>0</v>
      </c>
      <c r="R109" s="98">
        <f t="shared" si="15"/>
        <v>0</v>
      </c>
      <c r="S109" s="98">
        <f t="shared" si="15"/>
        <v>6285.4887385758211</v>
      </c>
      <c r="T109" s="98">
        <f t="shared" si="15"/>
        <v>6457.4662955599788</v>
      </c>
      <c r="U109" s="98">
        <f t="shared" si="15"/>
        <v>4882.5593582724696</v>
      </c>
      <c r="V109" s="98">
        <f t="shared" si="15"/>
        <v>13289.985607591725</v>
      </c>
      <c r="W109" s="98">
        <f t="shared" si="15"/>
        <v>0</v>
      </c>
      <c r="X109" s="98">
        <f t="shared" si="15"/>
        <v>0</v>
      </c>
      <c r="Y109" s="98">
        <f t="shared" si="15"/>
        <v>0</v>
      </c>
      <c r="Z109" s="98">
        <f t="shared" si="15"/>
        <v>0</v>
      </c>
      <c r="AA109" s="98">
        <f t="shared" si="15"/>
        <v>0</v>
      </c>
      <c r="AB109" s="98">
        <f t="shared" si="15"/>
        <v>0</v>
      </c>
      <c r="AC109" s="98">
        <f t="shared" si="15"/>
        <v>0</v>
      </c>
      <c r="AD109" s="98">
        <f t="shared" si="15"/>
        <v>0</v>
      </c>
      <c r="AE109" s="98">
        <f t="shared" si="15"/>
        <v>0</v>
      </c>
      <c r="AF109" s="98">
        <f t="shared" si="15"/>
        <v>0</v>
      </c>
      <c r="AG109" s="98">
        <f t="shared" si="15"/>
        <v>0</v>
      </c>
      <c r="AH109" s="98">
        <f t="shared" si="15"/>
        <v>0</v>
      </c>
      <c r="AI109" s="98">
        <f t="shared" si="15"/>
        <v>0</v>
      </c>
      <c r="AJ109" s="98">
        <f t="shared" si="15"/>
        <v>0</v>
      </c>
      <c r="AK109" s="98">
        <f t="shared" si="15"/>
        <v>0</v>
      </c>
      <c r="AL109" s="98">
        <f t="shared" si="15"/>
        <v>0</v>
      </c>
      <c r="AM109" s="98">
        <f t="shared" si="15"/>
        <v>0</v>
      </c>
      <c r="AN109" s="98">
        <f t="shared" si="15"/>
        <v>0</v>
      </c>
      <c r="AO109" s="98">
        <f t="shared" si="15"/>
        <v>0</v>
      </c>
    </row>
    <row r="110" spans="5:41" x14ac:dyDescent="0.35">
      <c r="E110" s="28"/>
      <c r="F110" t="s">
        <v>161</v>
      </c>
      <c r="G110" s="13" t="s">
        <v>277</v>
      </c>
      <c r="H110" s="98">
        <f t="shared" si="10"/>
        <v>0</v>
      </c>
      <c r="J110" s="98">
        <f t="shared" ref="J110:AO110" si="16" xml:space="preserve"> J38 * J69 * days_in_year / hundred</f>
        <v>0</v>
      </c>
      <c r="K110" s="98">
        <f t="shared" si="16"/>
        <v>0</v>
      </c>
      <c r="L110" s="98">
        <f t="shared" si="16"/>
        <v>0</v>
      </c>
      <c r="M110" s="98">
        <f t="shared" si="16"/>
        <v>0</v>
      </c>
      <c r="N110" s="98">
        <f t="shared" si="16"/>
        <v>0</v>
      </c>
      <c r="O110" s="98">
        <f t="shared" si="16"/>
        <v>0</v>
      </c>
      <c r="P110" s="98">
        <f t="shared" si="16"/>
        <v>0</v>
      </c>
      <c r="Q110" s="98">
        <f t="shared" si="16"/>
        <v>0</v>
      </c>
      <c r="R110" s="98">
        <f t="shared" si="16"/>
        <v>0</v>
      </c>
      <c r="S110" s="98">
        <f t="shared" si="16"/>
        <v>0</v>
      </c>
      <c r="T110" s="98">
        <f t="shared" si="16"/>
        <v>0</v>
      </c>
      <c r="U110" s="98">
        <f t="shared" si="16"/>
        <v>0</v>
      </c>
      <c r="V110" s="98">
        <f t="shared" si="16"/>
        <v>0</v>
      </c>
      <c r="W110" s="98">
        <f t="shared" si="16"/>
        <v>0</v>
      </c>
      <c r="X110" s="98">
        <f t="shared" si="16"/>
        <v>0</v>
      </c>
      <c r="Y110" s="98">
        <f t="shared" si="16"/>
        <v>0</v>
      </c>
      <c r="Z110" s="98">
        <f t="shared" si="16"/>
        <v>0</v>
      </c>
      <c r="AA110" s="98">
        <f t="shared" si="16"/>
        <v>0</v>
      </c>
      <c r="AB110" s="98">
        <f t="shared" si="16"/>
        <v>0</v>
      </c>
      <c r="AC110" s="98">
        <f t="shared" si="16"/>
        <v>0</v>
      </c>
      <c r="AD110" s="98">
        <f t="shared" si="16"/>
        <v>0</v>
      </c>
      <c r="AE110" s="98">
        <f t="shared" si="16"/>
        <v>0</v>
      </c>
      <c r="AF110" s="98">
        <f t="shared" si="16"/>
        <v>0</v>
      </c>
      <c r="AG110" s="98">
        <f t="shared" si="16"/>
        <v>0</v>
      </c>
      <c r="AH110" s="98">
        <f t="shared" si="16"/>
        <v>0</v>
      </c>
      <c r="AI110" s="98">
        <f t="shared" si="16"/>
        <v>0</v>
      </c>
      <c r="AJ110" s="98">
        <f t="shared" si="16"/>
        <v>0</v>
      </c>
      <c r="AK110" s="98">
        <f t="shared" si="16"/>
        <v>0</v>
      </c>
      <c r="AL110" s="98">
        <f t="shared" si="16"/>
        <v>0</v>
      </c>
      <c r="AM110" s="98">
        <f t="shared" si="16"/>
        <v>0</v>
      </c>
      <c r="AN110" s="98">
        <f t="shared" si="16"/>
        <v>0</v>
      </c>
      <c r="AO110" s="98">
        <f t="shared" si="16"/>
        <v>0</v>
      </c>
    </row>
    <row r="111" spans="5:41" x14ac:dyDescent="0.35">
      <c r="E111" s="28"/>
      <c r="F111" s="23" t="s">
        <v>162</v>
      </c>
      <c r="G111" s="85" t="s">
        <v>277</v>
      </c>
      <c r="H111" s="126">
        <f t="shared" si="10"/>
        <v>209.12776820784339</v>
      </c>
      <c r="I111" s="23"/>
      <c r="J111" s="126">
        <f t="shared" ref="J111:AO111" si="17">J39 * thousand * J70 / hundred</f>
        <v>0</v>
      </c>
      <c r="K111" s="126">
        <f t="shared" si="17"/>
        <v>0</v>
      </c>
      <c r="L111" s="126">
        <f t="shared" si="17"/>
        <v>0</v>
      </c>
      <c r="M111" s="126">
        <f t="shared" si="17"/>
        <v>0</v>
      </c>
      <c r="N111" s="126">
        <f t="shared" si="17"/>
        <v>0</v>
      </c>
      <c r="O111" s="126">
        <f t="shared" si="17"/>
        <v>0</v>
      </c>
      <c r="P111" s="126">
        <f t="shared" si="17"/>
        <v>0</v>
      </c>
      <c r="Q111" s="126">
        <f t="shared" si="17"/>
        <v>0</v>
      </c>
      <c r="R111" s="126">
        <f t="shared" si="17"/>
        <v>0</v>
      </c>
      <c r="S111" s="126">
        <f t="shared" si="17"/>
        <v>42.518161828011664</v>
      </c>
      <c r="T111" s="126">
        <f t="shared" si="17"/>
        <v>43.681503280484833</v>
      </c>
      <c r="U111" s="126">
        <f t="shared" si="17"/>
        <v>33.02805200426458</v>
      </c>
      <c r="V111" s="126">
        <f t="shared" si="17"/>
        <v>89.900051095082304</v>
      </c>
      <c r="W111" s="126">
        <f t="shared" si="17"/>
        <v>0</v>
      </c>
      <c r="X111" s="126">
        <f t="shared" si="17"/>
        <v>0</v>
      </c>
      <c r="Y111" s="126">
        <f t="shared" si="17"/>
        <v>0</v>
      </c>
      <c r="Z111" s="126">
        <f t="shared" si="17"/>
        <v>0</v>
      </c>
      <c r="AA111" s="126">
        <f t="shared" si="17"/>
        <v>0</v>
      </c>
      <c r="AB111" s="126">
        <f t="shared" si="17"/>
        <v>0</v>
      </c>
      <c r="AC111" s="126">
        <f t="shared" si="17"/>
        <v>0</v>
      </c>
      <c r="AD111" s="126">
        <f t="shared" si="17"/>
        <v>0</v>
      </c>
      <c r="AE111" s="126">
        <f t="shared" si="17"/>
        <v>0</v>
      </c>
      <c r="AF111" s="126">
        <f t="shared" si="17"/>
        <v>0</v>
      </c>
      <c r="AG111" s="126">
        <f t="shared" si="17"/>
        <v>0</v>
      </c>
      <c r="AH111" s="126">
        <f t="shared" si="17"/>
        <v>0</v>
      </c>
      <c r="AI111" s="126">
        <f t="shared" si="17"/>
        <v>0</v>
      </c>
      <c r="AJ111" s="126">
        <f t="shared" si="17"/>
        <v>0</v>
      </c>
      <c r="AK111" s="126">
        <f t="shared" si="17"/>
        <v>0</v>
      </c>
      <c r="AL111" s="126">
        <f t="shared" si="17"/>
        <v>0</v>
      </c>
      <c r="AM111" s="126">
        <f t="shared" si="17"/>
        <v>0</v>
      </c>
      <c r="AN111" s="126">
        <f t="shared" si="17"/>
        <v>0</v>
      </c>
      <c r="AO111" s="126">
        <f t="shared" si="17"/>
        <v>0</v>
      </c>
    </row>
    <row r="112" spans="5:41" x14ac:dyDescent="0.35">
      <c r="E112" s="28"/>
      <c r="F112" s="108" t="s">
        <v>100</v>
      </c>
      <c r="G112" s="214" t="s">
        <v>277</v>
      </c>
      <c r="H112" s="153">
        <f>SUM(H105:H111)</f>
        <v>482268.99194524169</v>
      </c>
      <c r="I112" s="108"/>
      <c r="J112" s="153">
        <f t="shared" ref="J112" si="18">SUM(J105:J111)</f>
        <v>398774.15950470779</v>
      </c>
      <c r="K112" s="153">
        <f t="shared" ref="K112:AO112" si="19">SUM(K105:K111)</f>
        <v>0</v>
      </c>
      <c r="L112" s="153">
        <f t="shared" si="19"/>
        <v>0</v>
      </c>
      <c r="M112" s="153">
        <f t="shared" si="19"/>
        <v>308.38088645983652</v>
      </c>
      <c r="N112" s="153">
        <f t="shared" si="19"/>
        <v>799.03353164337045</v>
      </c>
      <c r="O112" s="153">
        <f t="shared" si="19"/>
        <v>998.55475202298021</v>
      </c>
      <c r="P112" s="153">
        <f t="shared" si="19"/>
        <v>2498.7409568071735</v>
      </c>
      <c r="Q112" s="153">
        <f t="shared" si="19"/>
        <v>0</v>
      </c>
      <c r="R112" s="153">
        <f t="shared" si="19"/>
        <v>0</v>
      </c>
      <c r="S112" s="153">
        <f t="shared" si="19"/>
        <v>14753.861085706323</v>
      </c>
      <c r="T112" s="153">
        <f t="shared" si="19"/>
        <v>14954.839766671372</v>
      </c>
      <c r="U112" s="153">
        <f t="shared" si="19"/>
        <v>11283.667389365834</v>
      </c>
      <c r="V112" s="153">
        <f t="shared" si="19"/>
        <v>30911.570915856999</v>
      </c>
      <c r="W112" s="153">
        <f t="shared" si="19"/>
        <v>0</v>
      </c>
      <c r="X112" s="153">
        <f t="shared" si="19"/>
        <v>0</v>
      </c>
      <c r="Y112" s="153">
        <f t="shared" si="19"/>
        <v>0</v>
      </c>
      <c r="Z112" s="153">
        <f t="shared" si="19"/>
        <v>0</v>
      </c>
      <c r="AA112" s="153">
        <f t="shared" si="19"/>
        <v>0</v>
      </c>
      <c r="AB112" s="153">
        <f t="shared" si="19"/>
        <v>0</v>
      </c>
      <c r="AC112" s="153">
        <f t="shared" si="19"/>
        <v>0</v>
      </c>
      <c r="AD112" s="153">
        <f t="shared" si="19"/>
        <v>0</v>
      </c>
      <c r="AE112" s="153">
        <f t="shared" si="19"/>
        <v>0</v>
      </c>
      <c r="AF112" s="153">
        <f t="shared" si="19"/>
        <v>0</v>
      </c>
      <c r="AG112" s="153">
        <f t="shared" si="19"/>
        <v>6986.1831560000019</v>
      </c>
      <c r="AH112" s="153">
        <f t="shared" si="19"/>
        <v>0</v>
      </c>
      <c r="AI112" s="153">
        <f t="shared" si="19"/>
        <v>0</v>
      </c>
      <c r="AJ112" s="153">
        <f t="shared" si="19"/>
        <v>0</v>
      </c>
      <c r="AK112" s="153">
        <f t="shared" si="19"/>
        <v>0</v>
      </c>
      <c r="AL112" s="153">
        <f t="shared" si="19"/>
        <v>0</v>
      </c>
      <c r="AM112" s="153">
        <f t="shared" si="19"/>
        <v>0</v>
      </c>
      <c r="AN112" s="153">
        <f t="shared" si="19"/>
        <v>0</v>
      </c>
      <c r="AO112" s="153">
        <f t="shared" si="19"/>
        <v>0</v>
      </c>
    </row>
    <row r="113" spans="3:43" x14ac:dyDescent="0.35">
      <c r="E113" s="28"/>
      <c r="G113" s="13"/>
      <c r="H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row>
    <row r="114" spans="3:43" x14ac:dyDescent="0.35">
      <c r="E114" s="32" t="s">
        <v>766</v>
      </c>
      <c r="G114" s="13"/>
      <c r="H114" s="213" t="s">
        <v>545</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row>
    <row r="115" spans="3:43" x14ac:dyDescent="0.35">
      <c r="C115" s="88"/>
      <c r="F115" s="23" t="s">
        <v>156</v>
      </c>
      <c r="G115" s="85" t="s">
        <v>277</v>
      </c>
      <c r="H115" s="126">
        <f t="shared" ref="H115:H121" si="20">SUM(J115:AO115)</f>
        <v>141664.47802633492</v>
      </c>
      <c r="I115" s="23"/>
      <c r="J115" s="126">
        <f t="shared" ref="J115:AO115" si="21">J44 * thousand * J73 / hundred</f>
        <v>112143.94774928893</v>
      </c>
      <c r="K115" s="126">
        <f t="shared" si="21"/>
        <v>0</v>
      </c>
      <c r="L115" s="126">
        <f t="shared" si="21"/>
        <v>0</v>
      </c>
      <c r="M115" s="126">
        <f t="shared" si="21"/>
        <v>213.86416730123526</v>
      </c>
      <c r="N115" s="126">
        <f t="shared" si="21"/>
        <v>1026.5902695608463</v>
      </c>
      <c r="O115" s="126">
        <f t="shared" si="21"/>
        <v>1430.3740021143067</v>
      </c>
      <c r="P115" s="126">
        <f t="shared" si="21"/>
        <v>3785.4921428661992</v>
      </c>
      <c r="Q115" s="126">
        <f t="shared" si="21"/>
        <v>0</v>
      </c>
      <c r="R115" s="126">
        <f t="shared" si="21"/>
        <v>0</v>
      </c>
      <c r="S115" s="126">
        <f t="shared" si="21"/>
        <v>4150.1949365758483</v>
      </c>
      <c r="T115" s="126">
        <f t="shared" si="21"/>
        <v>4263.7486180612532</v>
      </c>
      <c r="U115" s="126">
        <f t="shared" si="21"/>
        <v>3223.8659504503039</v>
      </c>
      <c r="V115" s="126">
        <f t="shared" si="21"/>
        <v>8775.1379836678298</v>
      </c>
      <c r="W115" s="126">
        <f t="shared" si="21"/>
        <v>0</v>
      </c>
      <c r="X115" s="126">
        <f t="shared" si="21"/>
        <v>142.62864780518362</v>
      </c>
      <c r="Y115" s="126">
        <f t="shared" si="21"/>
        <v>87.482582459532551</v>
      </c>
      <c r="Z115" s="126">
        <f t="shared" si="21"/>
        <v>259.17875671141763</v>
      </c>
      <c r="AA115" s="126">
        <f t="shared" si="21"/>
        <v>2024.2164492086436</v>
      </c>
      <c r="AB115" s="126">
        <f t="shared" si="21"/>
        <v>0</v>
      </c>
      <c r="AC115" s="126">
        <f t="shared" si="21"/>
        <v>12.778160979562275</v>
      </c>
      <c r="AD115" s="126">
        <f t="shared" si="21"/>
        <v>35.530390985766353</v>
      </c>
      <c r="AE115" s="126">
        <f t="shared" si="21"/>
        <v>29.748528394318814</v>
      </c>
      <c r="AF115" s="126">
        <f t="shared" si="21"/>
        <v>59.698689903701819</v>
      </c>
      <c r="AG115" s="126">
        <f t="shared" si="21"/>
        <v>0</v>
      </c>
      <c r="AH115" s="126">
        <f t="shared" si="21"/>
        <v>0</v>
      </c>
      <c r="AI115" s="126">
        <f t="shared" si="21"/>
        <v>0</v>
      </c>
      <c r="AJ115" s="126">
        <f t="shared" si="21"/>
        <v>0</v>
      </c>
      <c r="AK115" s="126">
        <f t="shared" si="21"/>
        <v>0</v>
      </c>
      <c r="AL115" s="126">
        <f t="shared" si="21"/>
        <v>0</v>
      </c>
      <c r="AM115" s="126">
        <f t="shared" si="21"/>
        <v>0</v>
      </c>
      <c r="AN115" s="126">
        <f t="shared" si="21"/>
        <v>0</v>
      </c>
      <c r="AO115" s="126">
        <f t="shared" si="21"/>
        <v>0</v>
      </c>
    </row>
    <row r="116" spans="3:43" x14ac:dyDescent="0.35">
      <c r="C116" s="88"/>
      <c r="F116" t="s">
        <v>157</v>
      </c>
      <c r="G116" s="13" t="s">
        <v>277</v>
      </c>
      <c r="H116" s="98">
        <f t="shared" si="20"/>
        <v>129635.81332978558</v>
      </c>
      <c r="J116" s="98">
        <f t="shared" ref="J116:AO116" si="22">J45 * thousand * J74 / hundred</f>
        <v>89062.089245656753</v>
      </c>
      <c r="K116" s="98">
        <f t="shared" si="22"/>
        <v>0</v>
      </c>
      <c r="L116" s="98">
        <f t="shared" si="22"/>
        <v>0</v>
      </c>
      <c r="M116" s="98">
        <f t="shared" si="22"/>
        <v>237.77959502868285</v>
      </c>
      <c r="N116" s="98">
        <f t="shared" si="22"/>
        <v>1141.38904911891</v>
      </c>
      <c r="O116" s="98">
        <f t="shared" si="22"/>
        <v>1590.3260244771816</v>
      </c>
      <c r="P116" s="98">
        <f t="shared" si="22"/>
        <v>4208.8059915485746</v>
      </c>
      <c r="Q116" s="98">
        <f t="shared" si="22"/>
        <v>0</v>
      </c>
      <c r="R116" s="98">
        <f t="shared" si="22"/>
        <v>0</v>
      </c>
      <c r="S116" s="98">
        <f t="shared" si="22"/>
        <v>6356.3546862347193</v>
      </c>
      <c r="T116" s="98">
        <f t="shared" si="22"/>
        <v>6530.2712097907124</v>
      </c>
      <c r="U116" s="98">
        <f t="shared" si="22"/>
        <v>4937.6079329045824</v>
      </c>
      <c r="V116" s="98">
        <f t="shared" si="22"/>
        <v>13439.823983512273</v>
      </c>
      <c r="W116" s="98">
        <f t="shared" si="22"/>
        <v>0</v>
      </c>
      <c r="X116" s="98">
        <f t="shared" si="22"/>
        <v>114.40293077115918</v>
      </c>
      <c r="Y116" s="98">
        <f t="shared" si="22"/>
        <v>70.170081388350596</v>
      </c>
      <c r="Z116" s="98">
        <f t="shared" si="22"/>
        <v>207.88817546606373</v>
      </c>
      <c r="AA116" s="98">
        <f t="shared" si="22"/>
        <v>1623.6310016832522</v>
      </c>
      <c r="AB116" s="98">
        <f t="shared" si="22"/>
        <v>0</v>
      </c>
      <c r="AC116" s="98">
        <f t="shared" si="22"/>
        <v>9.2996883800582175</v>
      </c>
      <c r="AD116" s="98">
        <f t="shared" si="22"/>
        <v>25.85830345366141</v>
      </c>
      <c r="AE116" s="98">
        <f t="shared" si="22"/>
        <v>21.650380228810956</v>
      </c>
      <c r="AF116" s="98">
        <f t="shared" si="22"/>
        <v>43.447504980577634</v>
      </c>
      <c r="AG116" s="98">
        <f t="shared" si="22"/>
        <v>15.017545161290334</v>
      </c>
      <c r="AH116" s="98">
        <f t="shared" si="22"/>
        <v>0</v>
      </c>
      <c r="AI116" s="98">
        <f t="shared" si="22"/>
        <v>0</v>
      </c>
      <c r="AJ116" s="98">
        <f t="shared" si="22"/>
        <v>0</v>
      </c>
      <c r="AK116" s="98">
        <f t="shared" si="22"/>
        <v>0</v>
      </c>
      <c r="AL116" s="98">
        <f t="shared" si="22"/>
        <v>0</v>
      </c>
      <c r="AM116" s="98">
        <f t="shared" si="22"/>
        <v>0</v>
      </c>
      <c r="AN116" s="98">
        <f t="shared" si="22"/>
        <v>0</v>
      </c>
      <c r="AO116" s="98">
        <f t="shared" si="22"/>
        <v>0</v>
      </c>
    </row>
    <row r="117" spans="3:43" x14ac:dyDescent="0.35">
      <c r="C117" s="88"/>
      <c r="F117" t="s">
        <v>158</v>
      </c>
      <c r="G117" s="13" t="s">
        <v>277</v>
      </c>
      <c r="H117" s="98">
        <f t="shared" si="20"/>
        <v>35007.023880109678</v>
      </c>
      <c r="J117" s="98">
        <f t="shared" ref="J117:AO117" si="23">J46 * thousand * J75 / hundred</f>
        <v>23670.953684095992</v>
      </c>
      <c r="K117" s="98">
        <f t="shared" si="23"/>
        <v>0</v>
      </c>
      <c r="L117" s="98">
        <f t="shared" si="23"/>
        <v>0</v>
      </c>
      <c r="M117" s="98">
        <f t="shared" si="23"/>
        <v>46.047846558762402</v>
      </c>
      <c r="N117" s="98">
        <f t="shared" si="23"/>
        <v>221.03876403414378</v>
      </c>
      <c r="O117" s="98">
        <f t="shared" si="23"/>
        <v>307.97886061122341</v>
      </c>
      <c r="P117" s="98">
        <f t="shared" si="23"/>
        <v>815.06763635899949</v>
      </c>
      <c r="Q117" s="98">
        <f t="shared" si="23"/>
        <v>0</v>
      </c>
      <c r="R117" s="98">
        <f t="shared" si="23"/>
        <v>0</v>
      </c>
      <c r="S117" s="98">
        <f t="shared" si="23"/>
        <v>1851.1809795394747</v>
      </c>
      <c r="T117" s="98">
        <f t="shared" si="23"/>
        <v>1901.8312305601889</v>
      </c>
      <c r="U117" s="98">
        <f t="shared" si="23"/>
        <v>1437.9949422285367</v>
      </c>
      <c r="V117" s="98">
        <f t="shared" si="23"/>
        <v>3914.1218126979857</v>
      </c>
      <c r="W117" s="98">
        <f t="shared" si="23"/>
        <v>0</v>
      </c>
      <c r="X117" s="98">
        <f t="shared" si="23"/>
        <v>45.631387497745116</v>
      </c>
      <c r="Y117" s="98">
        <f t="shared" si="23"/>
        <v>27.988427857543559</v>
      </c>
      <c r="Z117" s="98">
        <f t="shared" si="23"/>
        <v>82.919430708174204</v>
      </c>
      <c r="AA117" s="98">
        <f t="shared" si="23"/>
        <v>647.61046672274745</v>
      </c>
      <c r="AB117" s="98">
        <f t="shared" si="23"/>
        <v>0</v>
      </c>
      <c r="AC117" s="98">
        <f t="shared" si="23"/>
        <v>2.7617499659093188</v>
      </c>
      <c r="AD117" s="98">
        <f t="shared" si="23"/>
        <v>7.6792001799500236</v>
      </c>
      <c r="AE117" s="98">
        <f t="shared" si="23"/>
        <v>6.4295634880690615</v>
      </c>
      <c r="AF117" s="98">
        <f t="shared" si="23"/>
        <v>12.902706036500984</v>
      </c>
      <c r="AG117" s="98">
        <f t="shared" si="23"/>
        <v>6.8851909677419396</v>
      </c>
      <c r="AH117" s="98">
        <f t="shared" si="23"/>
        <v>0</v>
      </c>
      <c r="AI117" s="98">
        <f t="shared" si="23"/>
        <v>0</v>
      </c>
      <c r="AJ117" s="98">
        <f t="shared" si="23"/>
        <v>0</v>
      </c>
      <c r="AK117" s="98">
        <f t="shared" si="23"/>
        <v>0</v>
      </c>
      <c r="AL117" s="98">
        <f t="shared" si="23"/>
        <v>0</v>
      </c>
      <c r="AM117" s="98">
        <f t="shared" si="23"/>
        <v>0</v>
      </c>
      <c r="AN117" s="98">
        <f t="shared" si="23"/>
        <v>0</v>
      </c>
      <c r="AO117" s="98">
        <f t="shared" si="23"/>
        <v>0</v>
      </c>
    </row>
    <row r="118" spans="3:43" x14ac:dyDescent="0.35">
      <c r="C118" s="88"/>
      <c r="F118" s="23" t="s">
        <v>159</v>
      </c>
      <c r="G118" s="85" t="s">
        <v>277</v>
      </c>
      <c r="H118" s="126">
        <f t="shared" si="20"/>
        <v>538057.78401815996</v>
      </c>
      <c r="I118" s="23"/>
      <c r="J118" s="126">
        <f t="shared" ref="J118:AO118" si="24" xml:space="preserve"> J47 * J76 * days_in_year / hundred</f>
        <v>504493.89140702365</v>
      </c>
      <c r="K118" s="126">
        <f t="shared" si="24"/>
        <v>0</v>
      </c>
      <c r="L118" s="126">
        <f t="shared" si="24"/>
        <v>0</v>
      </c>
      <c r="M118" s="126">
        <f t="shared" si="24"/>
        <v>702.87851057231865</v>
      </c>
      <c r="N118" s="126">
        <f t="shared" si="24"/>
        <v>1198.4418506923146</v>
      </c>
      <c r="O118" s="126">
        <f t="shared" si="24"/>
        <v>1302.619990285132</v>
      </c>
      <c r="P118" s="126">
        <f t="shared" si="24"/>
        <v>2987.8951981879468</v>
      </c>
      <c r="Q118" s="126">
        <f t="shared" si="24"/>
        <v>0</v>
      </c>
      <c r="R118" s="126">
        <f t="shared" si="24"/>
        <v>0</v>
      </c>
      <c r="S118" s="126">
        <f t="shared" si="24"/>
        <v>2715.1699174823125</v>
      </c>
      <c r="T118" s="126">
        <f t="shared" si="24"/>
        <v>2613.2308445850399</v>
      </c>
      <c r="U118" s="126">
        <f t="shared" si="24"/>
        <v>1955.1166351906713</v>
      </c>
      <c r="V118" s="126">
        <f t="shared" si="24"/>
        <v>5493.7472137847744</v>
      </c>
      <c r="W118" s="126">
        <f t="shared" si="24"/>
        <v>0</v>
      </c>
      <c r="X118" s="126">
        <f t="shared" si="24"/>
        <v>116.88627272727274</v>
      </c>
      <c r="Y118" s="126">
        <f t="shared" si="24"/>
        <v>263.16632727272719</v>
      </c>
      <c r="Z118" s="126">
        <f t="shared" si="24"/>
        <v>831.46734545454524</v>
      </c>
      <c r="AA118" s="126">
        <f t="shared" si="24"/>
        <v>5016.4571363636369</v>
      </c>
      <c r="AB118" s="126">
        <f t="shared" si="24"/>
        <v>0</v>
      </c>
      <c r="AC118" s="126">
        <f t="shared" si="24"/>
        <v>1229.8253929098964</v>
      </c>
      <c r="AD118" s="126">
        <f t="shared" si="24"/>
        <v>2125.1842488921711</v>
      </c>
      <c r="AE118" s="126">
        <f t="shared" si="24"/>
        <v>1693.8439084194977</v>
      </c>
      <c r="AF118" s="126">
        <f t="shared" si="24"/>
        <v>3317.9618183161006</v>
      </c>
      <c r="AG118" s="126">
        <f t="shared" si="24"/>
        <v>0</v>
      </c>
      <c r="AH118" s="126">
        <f t="shared" si="24"/>
        <v>0</v>
      </c>
      <c r="AI118" s="126">
        <f t="shared" si="24"/>
        <v>0</v>
      </c>
      <c r="AJ118" s="126">
        <f t="shared" si="24"/>
        <v>0</v>
      </c>
      <c r="AK118" s="126">
        <f t="shared" si="24"/>
        <v>0</v>
      </c>
      <c r="AL118" s="126">
        <f t="shared" si="24"/>
        <v>0</v>
      </c>
      <c r="AM118" s="126">
        <f t="shared" si="24"/>
        <v>0</v>
      </c>
      <c r="AN118" s="126">
        <f t="shared" si="24"/>
        <v>0</v>
      </c>
      <c r="AO118" s="126">
        <f t="shared" si="24"/>
        <v>0</v>
      </c>
    </row>
    <row r="119" spans="3:43" x14ac:dyDescent="0.35">
      <c r="C119" s="88"/>
      <c r="F119" t="s">
        <v>160</v>
      </c>
      <c r="G119" s="13" t="s">
        <v>277</v>
      </c>
      <c r="H119" s="98">
        <f t="shared" si="20"/>
        <v>608156.57378172944</v>
      </c>
      <c r="J119" s="98">
        <f t="shared" ref="J119:AO119" si="25" xml:space="preserve"> J48 * J77 * days_in_year / hundred</f>
        <v>0</v>
      </c>
      <c r="K119" s="98">
        <f t="shared" si="25"/>
        <v>0</v>
      </c>
      <c r="L119" s="98">
        <f t="shared" si="25"/>
        <v>0</v>
      </c>
      <c r="M119" s="98">
        <f t="shared" si="25"/>
        <v>0</v>
      </c>
      <c r="N119" s="98">
        <f t="shared" si="25"/>
        <v>0</v>
      </c>
      <c r="O119" s="98">
        <f t="shared" si="25"/>
        <v>0</v>
      </c>
      <c r="P119" s="98">
        <f t="shared" si="25"/>
        <v>0</v>
      </c>
      <c r="Q119" s="98">
        <f t="shared" si="25"/>
        <v>0</v>
      </c>
      <c r="R119" s="98">
        <f t="shared" si="25"/>
        <v>0</v>
      </c>
      <c r="S119" s="98">
        <f t="shared" si="25"/>
        <v>6225.2307095853785</v>
      </c>
      <c r="T119" s="98">
        <f t="shared" si="25"/>
        <v>6395.559543766034</v>
      </c>
      <c r="U119" s="98">
        <f t="shared" si="25"/>
        <v>4835.7510008646086</v>
      </c>
      <c r="V119" s="98">
        <f t="shared" si="25"/>
        <v>13162.576527513367</v>
      </c>
      <c r="W119" s="98">
        <f t="shared" si="25"/>
        <v>0</v>
      </c>
      <c r="X119" s="98">
        <f t="shared" si="25"/>
        <v>1155.6072007919577</v>
      </c>
      <c r="Y119" s="98">
        <f t="shared" si="25"/>
        <v>708.80222023978195</v>
      </c>
      <c r="Z119" s="98">
        <f t="shared" si="25"/>
        <v>2099.9206131233896</v>
      </c>
      <c r="AA119" s="98">
        <f t="shared" si="25"/>
        <v>16400.625965844865</v>
      </c>
      <c r="AB119" s="98">
        <f t="shared" si="25"/>
        <v>0</v>
      </c>
      <c r="AC119" s="98">
        <f t="shared" si="25"/>
        <v>51683.061150719608</v>
      </c>
      <c r="AD119" s="98">
        <f t="shared" si="25"/>
        <v>143707.64094797338</v>
      </c>
      <c r="AE119" s="98">
        <f t="shared" si="25"/>
        <v>120322.08817893341</v>
      </c>
      <c r="AF119" s="98">
        <f t="shared" si="25"/>
        <v>241459.70972237363</v>
      </c>
      <c r="AG119" s="98">
        <f t="shared" si="25"/>
        <v>0</v>
      </c>
      <c r="AH119" s="98">
        <f t="shared" si="25"/>
        <v>0</v>
      </c>
      <c r="AI119" s="98">
        <f t="shared" si="25"/>
        <v>0</v>
      </c>
      <c r="AJ119" s="98">
        <f t="shared" si="25"/>
        <v>0</v>
      </c>
      <c r="AK119" s="98">
        <f t="shared" si="25"/>
        <v>0</v>
      </c>
      <c r="AL119" s="98">
        <f t="shared" si="25"/>
        <v>0</v>
      </c>
      <c r="AM119" s="98">
        <f t="shared" si="25"/>
        <v>0</v>
      </c>
      <c r="AN119" s="98">
        <f t="shared" si="25"/>
        <v>0</v>
      </c>
      <c r="AO119" s="98">
        <f t="shared" si="25"/>
        <v>0</v>
      </c>
    </row>
    <row r="120" spans="3:43" x14ac:dyDescent="0.35">
      <c r="C120" s="88"/>
      <c r="F120" t="s">
        <v>161</v>
      </c>
      <c r="G120" s="13" t="s">
        <v>277</v>
      </c>
      <c r="H120" s="98">
        <f t="shared" si="20"/>
        <v>442.26259325621618</v>
      </c>
      <c r="J120" s="98">
        <f t="shared" ref="J120:AO120" si="26" xml:space="preserve"> J49 * J78 * days_in_year / hundred</f>
        <v>0</v>
      </c>
      <c r="K120" s="98">
        <f t="shared" si="26"/>
        <v>0</v>
      </c>
      <c r="L120" s="98">
        <f t="shared" si="26"/>
        <v>0</v>
      </c>
      <c r="M120" s="98">
        <f t="shared" si="26"/>
        <v>0</v>
      </c>
      <c r="N120" s="98">
        <f t="shared" si="26"/>
        <v>0</v>
      </c>
      <c r="O120" s="98">
        <f t="shared" si="26"/>
        <v>0</v>
      </c>
      <c r="P120" s="98">
        <f t="shared" si="26"/>
        <v>0</v>
      </c>
      <c r="Q120" s="98">
        <f t="shared" si="26"/>
        <v>0</v>
      </c>
      <c r="R120" s="98">
        <f t="shared" si="26"/>
        <v>0</v>
      </c>
      <c r="S120" s="98">
        <f t="shared" si="26"/>
        <v>89.917243758156459</v>
      </c>
      <c r="T120" s="98">
        <f t="shared" si="26"/>
        <v>92.377473750674199</v>
      </c>
      <c r="U120" s="98">
        <f t="shared" si="26"/>
        <v>69.847596303374971</v>
      </c>
      <c r="V120" s="98">
        <f t="shared" si="26"/>
        <v>190.12027944401049</v>
      </c>
      <c r="W120" s="98">
        <f t="shared" si="26"/>
        <v>0</v>
      </c>
      <c r="X120" s="98">
        <f t="shared" si="26"/>
        <v>0</v>
      </c>
      <c r="Y120" s="98">
        <f t="shared" si="26"/>
        <v>0</v>
      </c>
      <c r="Z120" s="98">
        <f t="shared" si="26"/>
        <v>0</v>
      </c>
      <c r="AA120" s="98">
        <f t="shared" si="26"/>
        <v>0</v>
      </c>
      <c r="AB120" s="98">
        <f t="shared" si="26"/>
        <v>0</v>
      </c>
      <c r="AC120" s="98">
        <f t="shared" si="26"/>
        <v>0</v>
      </c>
      <c r="AD120" s="98">
        <f t="shared" si="26"/>
        <v>0</v>
      </c>
      <c r="AE120" s="98">
        <f t="shared" si="26"/>
        <v>0</v>
      </c>
      <c r="AF120" s="98">
        <f t="shared" si="26"/>
        <v>0</v>
      </c>
      <c r="AG120" s="98">
        <f t="shared" si="26"/>
        <v>0</v>
      </c>
      <c r="AH120" s="98">
        <f t="shared" si="26"/>
        <v>0</v>
      </c>
      <c r="AI120" s="98">
        <f t="shared" si="26"/>
        <v>0</v>
      </c>
      <c r="AJ120" s="98">
        <f t="shared" si="26"/>
        <v>0</v>
      </c>
      <c r="AK120" s="98">
        <f t="shared" si="26"/>
        <v>0</v>
      </c>
      <c r="AL120" s="98">
        <f t="shared" si="26"/>
        <v>0</v>
      </c>
      <c r="AM120" s="98">
        <f t="shared" si="26"/>
        <v>0</v>
      </c>
      <c r="AN120" s="98">
        <f t="shared" si="26"/>
        <v>0</v>
      </c>
      <c r="AO120" s="98">
        <f t="shared" si="26"/>
        <v>0</v>
      </c>
    </row>
    <row r="121" spans="3:43" x14ac:dyDescent="0.35">
      <c r="C121" s="88"/>
      <c r="F121" s="23" t="s">
        <v>162</v>
      </c>
      <c r="G121" s="85" t="s">
        <v>277</v>
      </c>
      <c r="H121" s="126">
        <f t="shared" si="20"/>
        <v>723.91919399147866</v>
      </c>
      <c r="I121" s="23"/>
      <c r="J121" s="126">
        <f t="shared" ref="J121:AO121" si="27">J50 * thousand * J79 / hundred</f>
        <v>0</v>
      </c>
      <c r="K121" s="126">
        <f t="shared" si="27"/>
        <v>0</v>
      </c>
      <c r="L121" s="126">
        <f t="shared" si="27"/>
        <v>0</v>
      </c>
      <c r="M121" s="126">
        <f t="shared" si="27"/>
        <v>0</v>
      </c>
      <c r="N121" s="126">
        <f t="shared" si="27"/>
        <v>0</v>
      </c>
      <c r="O121" s="126">
        <f t="shared" si="27"/>
        <v>0</v>
      </c>
      <c r="P121" s="126">
        <f t="shared" si="27"/>
        <v>0</v>
      </c>
      <c r="Q121" s="126">
        <f t="shared" si="27"/>
        <v>0</v>
      </c>
      <c r="R121" s="126">
        <f t="shared" si="27"/>
        <v>0</v>
      </c>
      <c r="S121" s="126">
        <f t="shared" si="27"/>
        <v>147.10895498516814</v>
      </c>
      <c r="T121" s="126">
        <f t="shared" si="27"/>
        <v>151.13401011470359</v>
      </c>
      <c r="U121" s="126">
        <f t="shared" si="27"/>
        <v>114.2740421186822</v>
      </c>
      <c r="V121" s="126">
        <f t="shared" si="27"/>
        <v>311.04596250437777</v>
      </c>
      <c r="W121" s="126">
        <f t="shared" si="27"/>
        <v>0</v>
      </c>
      <c r="X121" s="126">
        <f t="shared" si="27"/>
        <v>2.0213907156471544E-2</v>
      </c>
      <c r="Y121" s="126">
        <f t="shared" si="27"/>
        <v>1.2398384383905579E-2</v>
      </c>
      <c r="Z121" s="126">
        <f t="shared" si="27"/>
        <v>3.6731858611253818E-2</v>
      </c>
      <c r="AA121" s="126">
        <f t="shared" si="27"/>
        <v>0.28688011839525368</v>
      </c>
      <c r="AB121" s="126">
        <f t="shared" si="27"/>
        <v>0</v>
      </c>
      <c r="AC121" s="126">
        <f t="shared" si="27"/>
        <v>0</v>
      </c>
      <c r="AD121" s="126">
        <f t="shared" si="27"/>
        <v>0</v>
      </c>
      <c r="AE121" s="126">
        <f t="shared" si="27"/>
        <v>0</v>
      </c>
      <c r="AF121" s="126">
        <f t="shared" si="27"/>
        <v>0</v>
      </c>
      <c r="AG121" s="126">
        <f t="shared" si="27"/>
        <v>0</v>
      </c>
      <c r="AH121" s="126">
        <f t="shared" si="27"/>
        <v>0</v>
      </c>
      <c r="AI121" s="126">
        <f t="shared" si="27"/>
        <v>0</v>
      </c>
      <c r="AJ121" s="126">
        <f t="shared" si="27"/>
        <v>0</v>
      </c>
      <c r="AK121" s="126">
        <f t="shared" si="27"/>
        <v>0</v>
      </c>
      <c r="AL121" s="126">
        <f t="shared" si="27"/>
        <v>0</v>
      </c>
      <c r="AM121" s="126">
        <f t="shared" si="27"/>
        <v>0</v>
      </c>
      <c r="AN121" s="126">
        <f t="shared" si="27"/>
        <v>0</v>
      </c>
      <c r="AO121" s="126">
        <f t="shared" si="27"/>
        <v>0</v>
      </c>
    </row>
    <row r="122" spans="3:43" x14ac:dyDescent="0.35">
      <c r="C122" s="88"/>
      <c r="F122" s="108" t="s">
        <v>100</v>
      </c>
      <c r="G122" s="214" t="s">
        <v>277</v>
      </c>
      <c r="H122" s="153">
        <f>SUM(H115:H121)</f>
        <v>1453687.8548233672</v>
      </c>
      <c r="I122" s="108"/>
      <c r="J122" s="153">
        <f t="shared" ref="J122" si="28">SUM(J115:J121)</f>
        <v>729370.88208606537</v>
      </c>
      <c r="K122" s="153">
        <f t="shared" ref="K122:AO122" si="29">SUM(K115:K121)</f>
        <v>0</v>
      </c>
      <c r="L122" s="153">
        <f t="shared" si="29"/>
        <v>0</v>
      </c>
      <c r="M122" s="153">
        <f t="shared" si="29"/>
        <v>1200.5701194609992</v>
      </c>
      <c r="N122" s="153">
        <f t="shared" si="29"/>
        <v>3587.4599334062141</v>
      </c>
      <c r="O122" s="153">
        <f t="shared" si="29"/>
        <v>4631.298877487844</v>
      </c>
      <c r="P122" s="153">
        <f t="shared" si="29"/>
        <v>11797.26096896172</v>
      </c>
      <c r="Q122" s="153">
        <f t="shared" si="29"/>
        <v>0</v>
      </c>
      <c r="R122" s="153">
        <f t="shared" si="29"/>
        <v>0</v>
      </c>
      <c r="S122" s="153">
        <f t="shared" si="29"/>
        <v>21535.157428161056</v>
      </c>
      <c r="T122" s="153">
        <f t="shared" si="29"/>
        <v>21948.152930628607</v>
      </c>
      <c r="U122" s="153">
        <f t="shared" si="29"/>
        <v>16574.458100060761</v>
      </c>
      <c r="V122" s="153">
        <f t="shared" si="29"/>
        <v>45286.573763124623</v>
      </c>
      <c r="W122" s="153">
        <f t="shared" si="29"/>
        <v>0</v>
      </c>
      <c r="X122" s="153">
        <f t="shared" si="29"/>
        <v>1575.1766535004747</v>
      </c>
      <c r="Y122" s="153">
        <f t="shared" si="29"/>
        <v>1157.6220376023198</v>
      </c>
      <c r="Z122" s="153">
        <f t="shared" si="29"/>
        <v>3481.411053322202</v>
      </c>
      <c r="AA122" s="153">
        <f t="shared" si="29"/>
        <v>25712.827899941542</v>
      </c>
      <c r="AB122" s="153">
        <f t="shared" si="29"/>
        <v>0</v>
      </c>
      <c r="AC122" s="153">
        <f t="shared" si="29"/>
        <v>52937.726142955034</v>
      </c>
      <c r="AD122" s="153">
        <f t="shared" si="29"/>
        <v>145901.89309148493</v>
      </c>
      <c r="AE122" s="153">
        <f t="shared" si="29"/>
        <v>122073.76055946411</v>
      </c>
      <c r="AF122" s="153">
        <f t="shared" si="29"/>
        <v>244893.72044161052</v>
      </c>
      <c r="AG122" s="153">
        <f t="shared" si="29"/>
        <v>21.902736129032274</v>
      </c>
      <c r="AH122" s="153">
        <f t="shared" si="29"/>
        <v>0</v>
      </c>
      <c r="AI122" s="153">
        <f t="shared" si="29"/>
        <v>0</v>
      </c>
      <c r="AJ122" s="153">
        <f t="shared" si="29"/>
        <v>0</v>
      </c>
      <c r="AK122" s="153">
        <f t="shared" si="29"/>
        <v>0</v>
      </c>
      <c r="AL122" s="153">
        <f t="shared" si="29"/>
        <v>0</v>
      </c>
      <c r="AM122" s="153">
        <f t="shared" si="29"/>
        <v>0</v>
      </c>
      <c r="AN122" s="153">
        <f t="shared" si="29"/>
        <v>0</v>
      </c>
      <c r="AO122" s="153">
        <f t="shared" si="29"/>
        <v>0</v>
      </c>
    </row>
    <row r="123" spans="3:43" x14ac:dyDescent="0.35">
      <c r="C123" s="88"/>
      <c r="D123" s="2"/>
      <c r="E123" s="2"/>
      <c r="G123" s="13"/>
      <c r="H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row>
    <row r="124" spans="3:43" x14ac:dyDescent="0.35">
      <c r="C124" s="31" t="str">
        <f ca="1">INDEX('Version control'!$H$34:$H$57,MATCH($A$1,'Version control'!$F$34:$F$57,0),1)&amp;"-E: Net revenue summary (for information only)"</f>
        <v>Section 118-E: Net revenue summary (for information only)</v>
      </c>
      <c r="D124" s="31"/>
      <c r="E124" s="31"/>
      <c r="F124" s="31"/>
      <c r="G124" s="31"/>
      <c r="H124" s="90"/>
      <c r="I124" s="31"/>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31"/>
      <c r="AQ124" s="31"/>
    </row>
    <row r="125" spans="3:43" x14ac:dyDescent="0.35">
      <c r="F125" s="3"/>
      <c r="G125" s="212"/>
      <c r="H125" s="127"/>
      <c r="I125" s="3"/>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row>
    <row r="126" spans="3:43" x14ac:dyDescent="0.35">
      <c r="E126" t="s">
        <v>737</v>
      </c>
      <c r="G126" s="13" t="s">
        <v>277</v>
      </c>
      <c r="H126" s="215">
        <f>H83</f>
        <v>248166603.79797688</v>
      </c>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row>
    <row r="127" spans="3:43" x14ac:dyDescent="0.35">
      <c r="G127" s="13"/>
      <c r="H127" s="215"/>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row>
    <row r="128" spans="3:43" x14ac:dyDescent="0.35">
      <c r="E128" s="311" t="s">
        <v>767</v>
      </c>
      <c r="F128" s="311"/>
      <c r="G128" s="400" t="s">
        <v>277</v>
      </c>
      <c r="H128" s="401">
        <f>H85</f>
        <v>163931533.92872003</v>
      </c>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row>
    <row r="129" spans="3:43" x14ac:dyDescent="0.35">
      <c r="E129" s="311" t="s">
        <v>893</v>
      </c>
      <c r="F129" s="311"/>
      <c r="G129" s="400" t="s">
        <v>277</v>
      </c>
      <c r="H129" s="401">
        <f>H86</f>
        <v>25993207.014630072</v>
      </c>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row>
    <row r="130" spans="3:43" x14ac:dyDescent="0.35">
      <c r="E130" s="311" t="s">
        <v>894</v>
      </c>
      <c r="F130" s="311"/>
      <c r="G130" s="400" t="s">
        <v>277</v>
      </c>
      <c r="H130" s="401">
        <f>H87</f>
        <v>0</v>
      </c>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row>
    <row r="131" spans="3:43" x14ac:dyDescent="0.35">
      <c r="E131" s="311" t="s">
        <v>1018</v>
      </c>
      <c r="F131" s="311"/>
      <c r="G131" s="400" t="s">
        <v>277</v>
      </c>
      <c r="H131" s="401">
        <f>H88</f>
        <v>58241862.854626775</v>
      </c>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row>
    <row r="132" spans="3:43" x14ac:dyDescent="0.35">
      <c r="E132" s="37" t="s">
        <v>768</v>
      </c>
      <c r="F132" s="37"/>
      <c r="G132" s="86" t="s">
        <v>277</v>
      </c>
      <c r="H132" s="216">
        <f>SUM(H102,H112,H122) - SUM(H128:H129, H131)</f>
        <v>16635.866617709398</v>
      </c>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row>
    <row r="133" spans="3:43" x14ac:dyDescent="0.35">
      <c r="E133" s="108" t="s">
        <v>769</v>
      </c>
      <c r="F133" s="108"/>
      <c r="G133" s="214" t="s">
        <v>277</v>
      </c>
      <c r="H133" s="216">
        <f>SUM(H128:H132)</f>
        <v>248183239.66459459</v>
      </c>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row>
    <row r="134" spans="3:43" x14ac:dyDescent="0.35">
      <c r="G134" s="13"/>
      <c r="H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row>
    <row r="135" spans="3:43" x14ac:dyDescent="0.35">
      <c r="E135" t="s">
        <v>770</v>
      </c>
      <c r="G135" s="13" t="s">
        <v>277</v>
      </c>
      <c r="H135" s="318">
        <f>H133 - H126</f>
        <v>16635.866617709398</v>
      </c>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row>
    <row r="136" spans="3:43" x14ac:dyDescent="0.35">
      <c r="E136" t="s">
        <v>770</v>
      </c>
      <c r="G136" s="13" t="s">
        <v>167</v>
      </c>
      <c r="H136" s="319">
        <f>(H133 - H126) / H126</f>
        <v>6.7035073870181318E-5</v>
      </c>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row>
    <row r="137" spans="3:43" x14ac:dyDescent="0.35">
      <c r="C137" s="88"/>
      <c r="D137" s="2"/>
      <c r="E137" s="2"/>
      <c r="G137" s="13"/>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35">
      <c r="C138" s="31" t="str">
        <f ca="1">INDEX('Version control'!$H$34:$H$57,MATCH($A$1,'Version control'!$F$34:$F$57,0),1)&amp;"-F: Typical bills"</f>
        <v>Section 118-F: Typical bills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31"/>
      <c r="AQ138" s="31"/>
    </row>
    <row r="139" spans="3:43" x14ac:dyDescent="0.35">
      <c r="F139" s="3"/>
      <c r="G139" s="212"/>
      <c r="H139" s="3"/>
      <c r="I139" s="3"/>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row>
    <row r="140" spans="3:43" x14ac:dyDescent="0.35">
      <c r="E140" t="s">
        <v>771</v>
      </c>
      <c r="G140" s="13" t="s">
        <v>772</v>
      </c>
      <c r="H140" t="s">
        <v>773</v>
      </c>
      <c r="J140" s="199">
        <f t="shared" ref="J140:AO140" si="30" xml:space="preserve"> IF( J25 &lt;&gt; 0, J102 / J25, 0)</f>
        <v>181.28310963074193</v>
      </c>
      <c r="K140" s="199">
        <f t="shared" si="30"/>
        <v>66.694258266958983</v>
      </c>
      <c r="L140" s="199">
        <f t="shared" si="30"/>
        <v>0</v>
      </c>
      <c r="M140" s="199">
        <f t="shared" si="30"/>
        <v>77.347263592299853</v>
      </c>
      <c r="N140" s="199">
        <f t="shared" si="30"/>
        <v>271.52937814801925</v>
      </c>
      <c r="O140" s="199">
        <f t="shared" si="30"/>
        <v>614.50837494666257</v>
      </c>
      <c r="P140" s="199">
        <f t="shared" si="30"/>
        <v>1924.6468079500037</v>
      </c>
      <c r="Q140" s="199">
        <f t="shared" si="30"/>
        <v>137.7846849492401</v>
      </c>
      <c r="R140" s="199">
        <f t="shared" si="30"/>
        <v>0</v>
      </c>
      <c r="S140" s="199">
        <f t="shared" si="30"/>
        <v>3567.9242306653819</v>
      </c>
      <c r="T140" s="199">
        <f t="shared" si="30"/>
        <v>6698.9044862884102</v>
      </c>
      <c r="U140" s="199">
        <f t="shared" si="30"/>
        <v>10983.574765073899</v>
      </c>
      <c r="V140" s="199">
        <f t="shared" si="30"/>
        <v>24543.696306925849</v>
      </c>
      <c r="W140" s="199">
        <f t="shared" si="30"/>
        <v>0</v>
      </c>
      <c r="X140" s="199">
        <f t="shared" si="30"/>
        <v>14562.084076380097</v>
      </c>
      <c r="Y140" s="199">
        <f t="shared" si="30"/>
        <v>7999.2586645628198</v>
      </c>
      <c r="Z140" s="199">
        <f t="shared" si="30"/>
        <v>12025.395435098177</v>
      </c>
      <c r="AA140" s="199">
        <f t="shared" si="30"/>
        <v>32825.721357757982</v>
      </c>
      <c r="AB140" s="199">
        <f t="shared" si="30"/>
        <v>0</v>
      </c>
      <c r="AC140" s="199">
        <f t="shared" si="30"/>
        <v>7364.0838828557999</v>
      </c>
      <c r="AD140" s="199">
        <f t="shared" si="30"/>
        <v>49332.630804948698</v>
      </c>
      <c r="AE140" s="199">
        <f t="shared" si="30"/>
        <v>104757.32674310335</v>
      </c>
      <c r="AF140" s="199">
        <f t="shared" si="30"/>
        <v>228650.9080902265</v>
      </c>
      <c r="AG140" s="199">
        <f t="shared" si="30"/>
        <v>2579.6420444704077</v>
      </c>
      <c r="AH140" s="199">
        <f t="shared" si="30"/>
        <v>-275.17205218095773</v>
      </c>
      <c r="AI140" s="199">
        <f t="shared" si="30"/>
        <v>-32.198630000000001</v>
      </c>
      <c r="AJ140" s="199">
        <f t="shared" si="30"/>
        <v>-7272.5802796544267</v>
      </c>
      <c r="AK140" s="199">
        <f t="shared" si="30"/>
        <v>0</v>
      </c>
      <c r="AL140" s="199">
        <f t="shared" si="30"/>
        <v>-22511.799804167866</v>
      </c>
      <c r="AM140" s="199">
        <f t="shared" si="30"/>
        <v>0</v>
      </c>
      <c r="AN140" s="199">
        <f t="shared" si="30"/>
        <v>-31467.388591707877</v>
      </c>
      <c r="AO140" s="199">
        <f t="shared" si="30"/>
        <v>0</v>
      </c>
    </row>
    <row r="141" spans="3:43" x14ac:dyDescent="0.35">
      <c r="E141" t="s">
        <v>774</v>
      </c>
      <c r="G141" s="13" t="s">
        <v>772</v>
      </c>
      <c r="H141" t="s">
        <v>448</v>
      </c>
      <c r="J141" s="98">
        <f t="shared" ref="J141:AO141" si="31" xml:space="preserve"> IF( J36 &lt;&gt; 0, J112 / J36, 0)</f>
        <v>129.74526332818294</v>
      </c>
      <c r="K141" s="98">
        <f t="shared" si="31"/>
        <v>0</v>
      </c>
      <c r="L141" s="98">
        <f t="shared" si="31"/>
        <v>0</v>
      </c>
      <c r="M141" s="98">
        <f t="shared" si="31"/>
        <v>48.342699857082572</v>
      </c>
      <c r="N141" s="98">
        <f t="shared" si="31"/>
        <v>154.41377496764645</v>
      </c>
      <c r="O141" s="98">
        <f t="shared" si="31"/>
        <v>341.76129756538893</v>
      </c>
      <c r="P141" s="98">
        <f t="shared" si="31"/>
        <v>1057.3388833711776</v>
      </c>
      <c r="Q141" s="98">
        <f t="shared" si="31"/>
        <v>0</v>
      </c>
      <c r="R141" s="98">
        <f t="shared" si="31"/>
        <v>0</v>
      </c>
      <c r="S141" s="98">
        <f t="shared" si="31"/>
        <v>3083.2031802242409</v>
      </c>
      <c r="T141" s="98">
        <f t="shared" si="31"/>
        <v>5806.3673483000412</v>
      </c>
      <c r="U141" s="98">
        <f t="shared" si="31"/>
        <v>9524.6558892696685</v>
      </c>
      <c r="V141" s="98">
        <f t="shared" si="31"/>
        <v>21252.528873812556</v>
      </c>
      <c r="W141" s="98">
        <f t="shared" si="31"/>
        <v>0</v>
      </c>
      <c r="X141" s="98">
        <f t="shared" si="31"/>
        <v>0</v>
      </c>
      <c r="Y141" s="98">
        <f t="shared" si="31"/>
        <v>0</v>
      </c>
      <c r="Z141" s="98">
        <f t="shared" si="31"/>
        <v>0</v>
      </c>
      <c r="AA141" s="98">
        <f t="shared" si="31"/>
        <v>0</v>
      </c>
      <c r="AB141" s="98">
        <f t="shared" si="31"/>
        <v>0</v>
      </c>
      <c r="AC141" s="98">
        <f t="shared" si="31"/>
        <v>0</v>
      </c>
      <c r="AD141" s="98">
        <f t="shared" si="31"/>
        <v>0</v>
      </c>
      <c r="AE141" s="98">
        <f t="shared" si="31"/>
        <v>0</v>
      </c>
      <c r="AF141" s="98">
        <f t="shared" si="31"/>
        <v>0</v>
      </c>
      <c r="AG141" s="98">
        <f t="shared" si="31"/>
        <v>3493.0915780000009</v>
      </c>
      <c r="AH141" s="98">
        <f t="shared" si="31"/>
        <v>0</v>
      </c>
      <c r="AI141" s="98">
        <f t="shared" si="31"/>
        <v>0</v>
      </c>
      <c r="AJ141" s="98">
        <f t="shared" si="31"/>
        <v>0</v>
      </c>
      <c r="AK141" s="98">
        <f t="shared" si="31"/>
        <v>0</v>
      </c>
      <c r="AL141" s="98">
        <f t="shared" si="31"/>
        <v>0</v>
      </c>
      <c r="AM141" s="98">
        <f t="shared" si="31"/>
        <v>0</v>
      </c>
      <c r="AN141" s="98">
        <f t="shared" si="31"/>
        <v>0</v>
      </c>
      <c r="AO141" s="98">
        <f t="shared" si="31"/>
        <v>0</v>
      </c>
    </row>
    <row r="142" spans="3:43" x14ac:dyDescent="0.35">
      <c r="E142" t="s">
        <v>775</v>
      </c>
      <c r="G142" s="13" t="s">
        <v>772</v>
      </c>
      <c r="H142" t="s">
        <v>449</v>
      </c>
      <c r="J142" s="98">
        <f t="shared" ref="J142:AO142" si="32" xml:space="preserve"> IF( J47 &lt;&gt; 0, J122 / J47, 0)</f>
        <v>95.724400822999016</v>
      </c>
      <c r="K142" s="98">
        <f t="shared" si="32"/>
        <v>0</v>
      </c>
      <c r="L142" s="98">
        <f t="shared" si="32"/>
        <v>0</v>
      </c>
      <c r="M142" s="98">
        <f t="shared" si="32"/>
        <v>39.152524745531494</v>
      </c>
      <c r="N142" s="98">
        <f t="shared" si="32"/>
        <v>144.22378481831484</v>
      </c>
      <c r="O142" s="98">
        <f t="shared" si="32"/>
        <v>329.74832610000448</v>
      </c>
      <c r="P142" s="98">
        <f t="shared" si="32"/>
        <v>1038.4915055511801</v>
      </c>
      <c r="Q142" s="98">
        <f t="shared" si="32"/>
        <v>0</v>
      </c>
      <c r="R142" s="98">
        <f t="shared" si="32"/>
        <v>0</v>
      </c>
      <c r="S142" s="98">
        <f t="shared" si="32"/>
        <v>3428.8011616493027</v>
      </c>
      <c r="T142" s="98">
        <f t="shared" si="32"/>
        <v>6492.5980472242809</v>
      </c>
      <c r="U142" s="98">
        <f t="shared" si="32"/>
        <v>10659.483241886381</v>
      </c>
      <c r="V142" s="98">
        <f t="shared" si="32"/>
        <v>23722.300219422857</v>
      </c>
      <c r="W142" s="98">
        <f t="shared" si="32"/>
        <v>0</v>
      </c>
      <c r="X142" s="98">
        <f t="shared" si="32"/>
        <v>9626.0795491695681</v>
      </c>
      <c r="Y142" s="98">
        <f t="shared" si="32"/>
        <v>5305.7676723439663</v>
      </c>
      <c r="Z142" s="98">
        <f t="shared" si="32"/>
        <v>7978.2336638633797</v>
      </c>
      <c r="AA142" s="98">
        <f t="shared" si="32"/>
        <v>21757.008223027457</v>
      </c>
      <c r="AB142" s="98">
        <f t="shared" si="32"/>
        <v>0</v>
      </c>
      <c r="AC142" s="98">
        <f t="shared" si="32"/>
        <v>85944.461867579274</v>
      </c>
      <c r="AD142" s="98">
        <f t="shared" si="32"/>
        <v>662923.36659688118</v>
      </c>
      <c r="AE142" s="98">
        <f t="shared" si="32"/>
        <v>1424895.4465302967</v>
      </c>
      <c r="AF142" s="98">
        <f t="shared" si="32"/>
        <v>3128170.7309239688</v>
      </c>
      <c r="AG142" s="98">
        <f t="shared" si="32"/>
        <v>5.8533174137931079</v>
      </c>
      <c r="AH142" s="98">
        <f t="shared" si="32"/>
        <v>0</v>
      </c>
      <c r="AI142" s="98">
        <f t="shared" si="32"/>
        <v>0</v>
      </c>
      <c r="AJ142" s="98">
        <f t="shared" si="32"/>
        <v>0</v>
      </c>
      <c r="AK142" s="98">
        <f t="shared" si="32"/>
        <v>0</v>
      </c>
      <c r="AL142" s="98">
        <f t="shared" si="32"/>
        <v>0</v>
      </c>
      <c r="AM142" s="98">
        <f t="shared" si="32"/>
        <v>0</v>
      </c>
      <c r="AN142" s="98">
        <f t="shared" si="32"/>
        <v>0</v>
      </c>
      <c r="AO142" s="98">
        <f t="shared" si="32"/>
        <v>0</v>
      </c>
    </row>
    <row r="143" spans="3:43" x14ac:dyDescent="0.35">
      <c r="D143" s="2"/>
      <c r="E143" s="2"/>
      <c r="G143" s="13"/>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row>
    <row r="144" spans="3:43" x14ac:dyDescent="0.35">
      <c r="C144" s="31" t="str">
        <f ca="1">INDEX('Version control'!$H$34:$H$57,MATCH($A$1,'Version control'!$F$34:$F$57,0),1)&amp;"-G: Average bill per kWh"</f>
        <v>Section 118-G: Average bill per kWh</v>
      </c>
      <c r="D144" s="31"/>
      <c r="E144" s="31"/>
      <c r="F144" s="31"/>
      <c r="G144" s="31"/>
      <c r="H144" s="31"/>
      <c r="I144" s="31"/>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31"/>
      <c r="AQ144" s="31"/>
    </row>
    <row r="145" spans="1:43" x14ac:dyDescent="0.35">
      <c r="F145" s="3"/>
      <c r="G145" s="212"/>
      <c r="H145" s="3"/>
      <c r="I145" s="3"/>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row>
    <row r="146" spans="1:43" x14ac:dyDescent="0.35">
      <c r="E146" t="s">
        <v>776</v>
      </c>
      <c r="G146" s="13" t="s">
        <v>269</v>
      </c>
      <c r="H146" s="267" t="s">
        <v>773</v>
      </c>
      <c r="I146" s="267"/>
      <c r="J146" s="275">
        <f t="shared" ref="J146:AO146" si="33" xml:space="preserve"> IF( SUM(J$22:J$24) &lt;&gt; 0, J$102 / SUM(J$22:J$24) * hundred / thousand, 0)</f>
        <v>4.9836472700077739</v>
      </c>
      <c r="K146" s="275">
        <f t="shared" si="33"/>
        <v>1.3151050899485042</v>
      </c>
      <c r="L146" s="275">
        <f t="shared" si="33"/>
        <v>0</v>
      </c>
      <c r="M146" s="275">
        <f t="shared" si="33"/>
        <v>6.5653869409868495</v>
      </c>
      <c r="N146" s="275">
        <f t="shared" si="33"/>
        <v>3.8948926593763344</v>
      </c>
      <c r="O146" s="275">
        <f t="shared" si="33"/>
        <v>3.5721036180964814</v>
      </c>
      <c r="P146" s="275">
        <f t="shared" si="33"/>
        <v>3.4192635264443663</v>
      </c>
      <c r="Q146" s="275">
        <f t="shared" si="33"/>
        <v>1.4193282415519053</v>
      </c>
      <c r="R146" s="275">
        <f t="shared" si="33"/>
        <v>0</v>
      </c>
      <c r="S146" s="275">
        <f t="shared" si="33"/>
        <v>4.0221249064923557</v>
      </c>
      <c r="T146" s="275">
        <f t="shared" si="33"/>
        <v>3.9563465988056756</v>
      </c>
      <c r="U146" s="275">
        <f t="shared" si="33"/>
        <v>3.9461409970145205</v>
      </c>
      <c r="V146" s="275">
        <f t="shared" si="33"/>
        <v>3.9774191242670707</v>
      </c>
      <c r="W146" s="275">
        <f t="shared" si="33"/>
        <v>0</v>
      </c>
      <c r="X146" s="275">
        <f t="shared" si="33"/>
        <v>2.1759712156545068</v>
      </c>
      <c r="Y146" s="275">
        <f t="shared" si="33"/>
        <v>2.5983835552952241</v>
      </c>
      <c r="Z146" s="275">
        <f t="shared" si="33"/>
        <v>2.6369692969005709</v>
      </c>
      <c r="AA146" s="275">
        <f t="shared" si="33"/>
        <v>2.4961147864053879</v>
      </c>
      <c r="AB146" s="275">
        <f t="shared" si="33"/>
        <v>0</v>
      </c>
      <c r="AC146" s="275">
        <f t="shared" si="33"/>
        <v>4.375091781765148</v>
      </c>
      <c r="AD146" s="275">
        <f t="shared" si="33"/>
        <v>3.7663554082698498</v>
      </c>
      <c r="AE146" s="275">
        <f t="shared" si="33"/>
        <v>3.7183276450929372</v>
      </c>
      <c r="AF146" s="275">
        <f t="shared" si="33"/>
        <v>3.6955981499349355</v>
      </c>
      <c r="AG146" s="275">
        <f t="shared" si="33"/>
        <v>5.0617339584602847</v>
      </c>
      <c r="AH146" s="275">
        <f t="shared" si="33"/>
        <v>-1.6548849955157581</v>
      </c>
      <c r="AI146" s="275">
        <f t="shared" si="33"/>
        <v>-1.4412994628469114</v>
      </c>
      <c r="AJ146" s="275">
        <f t="shared" si="33"/>
        <v>-1.4512986733288524</v>
      </c>
      <c r="AK146" s="275">
        <f t="shared" si="33"/>
        <v>0</v>
      </c>
      <c r="AL146" s="275">
        <f t="shared" si="33"/>
        <v>-1.3309117880262025</v>
      </c>
      <c r="AM146" s="275">
        <f t="shared" si="33"/>
        <v>0</v>
      </c>
      <c r="AN146" s="275">
        <f t="shared" si="33"/>
        <v>-0.67442361546482443</v>
      </c>
      <c r="AO146" s="275">
        <f t="shared" si="33"/>
        <v>0</v>
      </c>
      <c r="AP146" s="267"/>
      <c r="AQ146" s="267"/>
    </row>
    <row r="147" spans="1:43" x14ac:dyDescent="0.35">
      <c r="E147" t="s">
        <v>777</v>
      </c>
      <c r="G147" s="13" t="s">
        <v>269</v>
      </c>
      <c r="H147" s="267" t="s">
        <v>448</v>
      </c>
      <c r="I147" s="267"/>
      <c r="J147" s="282">
        <f t="shared" ref="J147:AO147" si="34" xml:space="preserve"> IF( SUM(J$33:J$35) &lt;&gt; 0, J$112 / SUM(J$33:J$35) * hundred / thousand, 0)</f>
        <v>4.5140888247483071</v>
      </c>
      <c r="K147" s="282">
        <f t="shared" si="34"/>
        <v>0</v>
      </c>
      <c r="L147" s="282">
        <f t="shared" si="34"/>
        <v>0</v>
      </c>
      <c r="M147" s="282">
        <f t="shared" si="34"/>
        <v>6.1464916826873459</v>
      </c>
      <c r="N147" s="282">
        <f t="shared" si="34"/>
        <v>3.3177658479069101</v>
      </c>
      <c r="O147" s="282">
        <f t="shared" si="34"/>
        <v>2.9757753756862497</v>
      </c>
      <c r="P147" s="282">
        <f t="shared" si="34"/>
        <v>2.8136933046955646</v>
      </c>
      <c r="Q147" s="282">
        <f t="shared" si="34"/>
        <v>0</v>
      </c>
      <c r="R147" s="282">
        <f t="shared" si="34"/>
        <v>0</v>
      </c>
      <c r="S147" s="282">
        <f t="shared" si="34"/>
        <v>3.5482729875263308</v>
      </c>
      <c r="T147" s="282">
        <f t="shared" si="34"/>
        <v>3.5008217915034305</v>
      </c>
      <c r="U147" s="282">
        <f t="shared" si="34"/>
        <v>3.4934387376076508</v>
      </c>
      <c r="V147" s="282">
        <f t="shared" si="34"/>
        <v>3.5159845117210198</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3.4801003633436389</v>
      </c>
      <c r="AH147" s="282">
        <f t="shared" si="34"/>
        <v>0</v>
      </c>
      <c r="AI147" s="282">
        <f t="shared" si="34"/>
        <v>0</v>
      </c>
      <c r="AJ147" s="282">
        <f t="shared" si="34"/>
        <v>0</v>
      </c>
      <c r="AK147" s="282">
        <f t="shared" si="34"/>
        <v>0</v>
      </c>
      <c r="AL147" s="282">
        <f t="shared" si="34"/>
        <v>0</v>
      </c>
      <c r="AM147" s="282">
        <f t="shared" si="34"/>
        <v>0</v>
      </c>
      <c r="AN147" s="282">
        <f t="shared" si="34"/>
        <v>0</v>
      </c>
      <c r="AO147" s="282">
        <f t="shared" si="34"/>
        <v>0</v>
      </c>
      <c r="AP147" s="267"/>
      <c r="AQ147" s="267"/>
    </row>
    <row r="148" spans="1:43" x14ac:dyDescent="0.35">
      <c r="E148" t="s">
        <v>778</v>
      </c>
      <c r="G148" s="13" t="s">
        <v>269</v>
      </c>
      <c r="H148" s="267" t="s">
        <v>449</v>
      </c>
      <c r="I148" s="267"/>
      <c r="J148" s="282">
        <f t="shared" ref="J148:AO148" si="35" xml:space="preserve"> IF( SUM(J$44:J$46) &lt;&gt; 0, J$122 / SUM(J$44:J$46) * hundred / thousand, 0)</f>
        <v>3.4401445397094554</v>
      </c>
      <c r="K148" s="282">
        <f t="shared" si="35"/>
        <v>0</v>
      </c>
      <c r="L148" s="282">
        <f t="shared" si="35"/>
        <v>0</v>
      </c>
      <c r="M148" s="282">
        <f t="shared" si="35"/>
        <v>2.8293012177838062</v>
      </c>
      <c r="N148" s="282">
        <f t="shared" si="35"/>
        <v>1.7612442865659981</v>
      </c>
      <c r="O148" s="282">
        <f t="shared" si="35"/>
        <v>1.6318599440170367</v>
      </c>
      <c r="P148" s="282">
        <f t="shared" si="35"/>
        <v>1.5706829121683938</v>
      </c>
      <c r="Q148" s="282">
        <f t="shared" si="35"/>
        <v>0</v>
      </c>
      <c r="R148" s="282">
        <f t="shared" si="35"/>
        <v>0</v>
      </c>
      <c r="S148" s="282">
        <f t="shared" si="35"/>
        <v>1.1820620767713594</v>
      </c>
      <c r="T148" s="282">
        <f t="shared" si="35"/>
        <v>1.1726465107674069</v>
      </c>
      <c r="U148" s="282">
        <f t="shared" si="35"/>
        <v>1.1711785032641409</v>
      </c>
      <c r="V148" s="282">
        <f t="shared" si="35"/>
        <v>1.1756451053764934</v>
      </c>
      <c r="W148" s="282">
        <f t="shared" si="35"/>
        <v>0</v>
      </c>
      <c r="X148" s="282">
        <f t="shared" si="35"/>
        <v>2.7080506268002433</v>
      </c>
      <c r="Y148" s="282">
        <f t="shared" si="35"/>
        <v>3.2447367588702316</v>
      </c>
      <c r="Z148" s="282">
        <f t="shared" si="35"/>
        <v>3.2937465635064291</v>
      </c>
      <c r="AA148" s="282">
        <f t="shared" si="35"/>
        <v>3.1147785203808511</v>
      </c>
      <c r="AB148" s="282">
        <f t="shared" si="35"/>
        <v>0</v>
      </c>
      <c r="AC148" s="282">
        <f t="shared" si="35"/>
        <v>951.8601059140525</v>
      </c>
      <c r="AD148" s="282">
        <f t="shared" si="35"/>
        <v>943.48964416705326</v>
      </c>
      <c r="AE148" s="282">
        <f t="shared" si="35"/>
        <v>942.82922076044611</v>
      </c>
      <c r="AF148" s="282">
        <f t="shared" si="35"/>
        <v>942.51668231483552</v>
      </c>
      <c r="AG148" s="282">
        <f t="shared" si="35"/>
        <v>2.1216286598131422</v>
      </c>
      <c r="AH148" s="282">
        <f t="shared" si="35"/>
        <v>0</v>
      </c>
      <c r="AI148" s="282">
        <f t="shared" si="35"/>
        <v>0</v>
      </c>
      <c r="AJ148" s="282">
        <f t="shared" si="35"/>
        <v>0</v>
      </c>
      <c r="AK148" s="282">
        <f t="shared" si="35"/>
        <v>0</v>
      </c>
      <c r="AL148" s="282">
        <f t="shared" si="35"/>
        <v>0</v>
      </c>
      <c r="AM148" s="282">
        <f t="shared" si="35"/>
        <v>0</v>
      </c>
      <c r="AN148" s="282">
        <f t="shared" si="35"/>
        <v>0</v>
      </c>
      <c r="AO148" s="282">
        <f t="shared" si="35"/>
        <v>0</v>
      </c>
      <c r="AP148" s="267"/>
      <c r="AQ148" s="267"/>
    </row>
    <row r="149" spans="1:43" x14ac:dyDescent="0.35">
      <c r="C149" s="88"/>
      <c r="D149" s="2"/>
      <c r="E149" s="2"/>
      <c r="G149" s="13"/>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row>
    <row r="150" spans="1:43" x14ac:dyDescent="0.35">
      <c r="B150" s="30" t="s">
        <v>779</v>
      </c>
      <c r="C150" s="30"/>
      <c r="D150" s="30"/>
      <c r="E150" s="30"/>
      <c r="F150" s="30"/>
      <c r="G150" s="92"/>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30"/>
      <c r="AQ150" s="30"/>
    </row>
    <row r="151" spans="1:43" x14ac:dyDescent="0.35">
      <c r="F151" s="3"/>
      <c r="G151" s="212"/>
      <c r="H151" s="3"/>
      <c r="I151" s="3"/>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row>
    <row r="152" spans="1:43" x14ac:dyDescent="0.35">
      <c r="C152" s="31" t="str">
        <f ca="1">INDEX('Version control'!$H$34:$H$57,MATCH($A$1,'Version control'!$F$34:$F$57,0),1)&amp;"-H: Previous year all the way tariff forecast"</f>
        <v>Section 118-H: Previous year all the way tariff forecast</v>
      </c>
      <c r="D152" s="31"/>
      <c r="E152" s="31"/>
      <c r="F152" s="31"/>
      <c r="G152" s="31"/>
      <c r="H152" s="31"/>
      <c r="I152" s="31"/>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31"/>
      <c r="AQ152" s="31"/>
    </row>
    <row r="153" spans="1:43" x14ac:dyDescent="0.35">
      <c r="D153" s="32"/>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row>
    <row r="154" spans="1:43" x14ac:dyDescent="0.35">
      <c r="A154" s="320"/>
      <c r="B154" s="320"/>
      <c r="E154" s="32" t="s">
        <v>780</v>
      </c>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row>
    <row r="155" spans="1:43" x14ac:dyDescent="0.35">
      <c r="A155" s="320"/>
      <c r="B155" s="320"/>
      <c r="F155" s="23" t="s">
        <v>156</v>
      </c>
      <c r="G155" s="23" t="s">
        <v>269</v>
      </c>
      <c r="H155" s="396"/>
      <c r="I155" s="266"/>
      <c r="J155" s="278">
        <f>'Inputs by customer type'!J198</f>
        <v>0</v>
      </c>
      <c r="K155" s="278">
        <f>'Inputs by customer type'!K198</f>
        <v>0</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0</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0</v>
      </c>
      <c r="AH155" s="278">
        <f>'Inputs by customer type'!AH198</f>
        <v>0</v>
      </c>
      <c r="AI155" s="278">
        <f>'Inputs by customer type'!AI198</f>
        <v>0</v>
      </c>
      <c r="AJ155" s="278">
        <f>'Inputs by customer type'!AJ198</f>
        <v>0</v>
      </c>
      <c r="AK155" s="278">
        <f>'Inputs by customer type'!AK198</f>
        <v>0</v>
      </c>
      <c r="AL155" s="278">
        <f>'Inputs by customer type'!AL198</f>
        <v>0</v>
      </c>
      <c r="AM155" s="278">
        <f>'Inputs by customer type'!AM198</f>
        <v>0</v>
      </c>
      <c r="AN155" s="278">
        <f>'Inputs by customer type'!AN198</f>
        <v>0</v>
      </c>
      <c r="AO155" s="278">
        <f>'Inputs by customer type'!AO198</f>
        <v>0</v>
      </c>
      <c r="AP155" s="267"/>
      <c r="AQ155" s="267"/>
    </row>
    <row r="156" spans="1:43" x14ac:dyDescent="0.35">
      <c r="A156" s="320"/>
      <c r="B156" s="320"/>
      <c r="E156" s="28"/>
      <c r="F156" t="s">
        <v>157</v>
      </c>
      <c r="G156" t="s">
        <v>269</v>
      </c>
      <c r="H156" s="397"/>
      <c r="I156" s="267"/>
      <c r="J156" s="279">
        <f>'Inputs by customer type'!J199</f>
        <v>0</v>
      </c>
      <c r="K156" s="279">
        <f>'Inputs by customer type'!K199</f>
        <v>0</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0</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0</v>
      </c>
      <c r="AH156" s="279">
        <f>'Inputs by customer type'!AH199</f>
        <v>0</v>
      </c>
      <c r="AI156" s="279">
        <f>'Inputs by customer type'!AI199</f>
        <v>0</v>
      </c>
      <c r="AJ156" s="279">
        <f>'Inputs by customer type'!AJ199</f>
        <v>0</v>
      </c>
      <c r="AK156" s="279">
        <f>'Inputs by customer type'!AK199</f>
        <v>0</v>
      </c>
      <c r="AL156" s="279">
        <f>'Inputs by customer type'!AL199</f>
        <v>0</v>
      </c>
      <c r="AM156" s="279">
        <f>'Inputs by customer type'!AM199</f>
        <v>0</v>
      </c>
      <c r="AN156" s="279">
        <f>'Inputs by customer type'!AN199</f>
        <v>0</v>
      </c>
      <c r="AO156" s="279">
        <f>'Inputs by customer type'!AO199</f>
        <v>0</v>
      </c>
      <c r="AP156" s="267"/>
      <c r="AQ156" s="267"/>
    </row>
    <row r="157" spans="1:43" x14ac:dyDescent="0.35">
      <c r="A157" s="320"/>
      <c r="B157" s="320"/>
      <c r="E157" s="28"/>
      <c r="F157" t="s">
        <v>158</v>
      </c>
      <c r="G157" t="s">
        <v>269</v>
      </c>
      <c r="H157" s="397"/>
      <c r="I157" s="267"/>
      <c r="J157" s="279">
        <f>'Inputs by customer type'!J200</f>
        <v>0</v>
      </c>
      <c r="K157" s="279">
        <f>'Inputs by customer type'!K200</f>
        <v>0</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0</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0</v>
      </c>
      <c r="AH157" s="279">
        <f>'Inputs by customer type'!AH200</f>
        <v>0</v>
      </c>
      <c r="AI157" s="279">
        <f>'Inputs by customer type'!AI200</f>
        <v>0</v>
      </c>
      <c r="AJ157" s="279">
        <f>'Inputs by customer type'!AJ200</f>
        <v>0</v>
      </c>
      <c r="AK157" s="279">
        <f>'Inputs by customer type'!AK200</f>
        <v>0</v>
      </c>
      <c r="AL157" s="279">
        <f>'Inputs by customer type'!AL200</f>
        <v>0</v>
      </c>
      <c r="AM157" s="279">
        <f>'Inputs by customer type'!AM200</f>
        <v>0</v>
      </c>
      <c r="AN157" s="279">
        <f>'Inputs by customer type'!AN200</f>
        <v>0</v>
      </c>
      <c r="AO157" s="279">
        <f>'Inputs by customer type'!AO200</f>
        <v>0</v>
      </c>
      <c r="AP157" s="267"/>
      <c r="AQ157" s="267"/>
    </row>
    <row r="158" spans="1:43" x14ac:dyDescent="0.35">
      <c r="A158" s="320"/>
      <c r="B158" s="320"/>
      <c r="E158" s="28"/>
      <c r="F158" t="s">
        <v>159</v>
      </c>
      <c r="G158" t="s">
        <v>270</v>
      </c>
      <c r="H158" s="397"/>
      <c r="J158" s="120">
        <f>'Inputs by customer type'!J201</f>
        <v>0</v>
      </c>
      <c r="K158" s="120">
        <f>'Inputs by customer type'!K201</f>
        <v>0</v>
      </c>
      <c r="L158" s="120">
        <f>'Inputs by customer type'!L201</f>
        <v>0</v>
      </c>
      <c r="M158" s="120">
        <f>'Inputs by customer type'!M201</f>
        <v>0</v>
      </c>
      <c r="N158" s="120">
        <f>'Inputs by customer type'!N201</f>
        <v>0</v>
      </c>
      <c r="O158" s="120">
        <f>'Inputs by customer type'!O201</f>
        <v>0</v>
      </c>
      <c r="P158" s="120">
        <f>'Inputs by customer type'!P201</f>
        <v>0</v>
      </c>
      <c r="Q158" s="120">
        <f>'Inputs by customer type'!Q201</f>
        <v>0</v>
      </c>
      <c r="R158" s="120">
        <f>'Inputs by customer type'!R201</f>
        <v>0</v>
      </c>
      <c r="S158" s="120">
        <f>'Inputs by customer type'!S201</f>
        <v>0</v>
      </c>
      <c r="T158" s="120">
        <f>'Inputs by customer type'!T201</f>
        <v>0</v>
      </c>
      <c r="U158" s="120">
        <f>'Inputs by customer type'!U201</f>
        <v>0</v>
      </c>
      <c r="V158" s="120">
        <f>'Inputs by customer type'!V201</f>
        <v>0</v>
      </c>
      <c r="W158" s="120">
        <f>'Inputs by customer type'!W201</f>
        <v>0</v>
      </c>
      <c r="X158" s="120">
        <f>'Inputs by customer type'!X201</f>
        <v>0</v>
      </c>
      <c r="Y158" s="120">
        <f>'Inputs by customer type'!Y201</f>
        <v>0</v>
      </c>
      <c r="Z158" s="120">
        <f>'Inputs by customer type'!Z201</f>
        <v>0</v>
      </c>
      <c r="AA158" s="120">
        <f>'Inputs by customer type'!AA201</f>
        <v>0</v>
      </c>
      <c r="AB158" s="120">
        <f>'Inputs by customer type'!AB201</f>
        <v>0</v>
      </c>
      <c r="AC158" s="120">
        <f>'Inputs by customer type'!AC201</f>
        <v>0</v>
      </c>
      <c r="AD158" s="120">
        <f>'Inputs by customer type'!AD201</f>
        <v>0</v>
      </c>
      <c r="AE158" s="120">
        <f>'Inputs by customer type'!AE201</f>
        <v>0</v>
      </c>
      <c r="AF158" s="120">
        <f>'Inputs by customer type'!AF201</f>
        <v>0</v>
      </c>
      <c r="AG158" s="120">
        <f>'Inputs by customer type'!AG201</f>
        <v>0</v>
      </c>
      <c r="AH158" s="120">
        <f>'Inputs by customer type'!AH201</f>
        <v>0</v>
      </c>
      <c r="AI158" s="120">
        <f>'Inputs by customer type'!AI201</f>
        <v>0</v>
      </c>
      <c r="AJ158" s="120">
        <f>'Inputs by customer type'!AJ201</f>
        <v>0</v>
      </c>
      <c r="AK158" s="120">
        <f>'Inputs by customer type'!AK201</f>
        <v>0</v>
      </c>
      <c r="AL158" s="120">
        <f>'Inputs by customer type'!AL201</f>
        <v>0</v>
      </c>
      <c r="AM158" s="120">
        <f>'Inputs by customer type'!AM201</f>
        <v>0</v>
      </c>
      <c r="AN158" s="120">
        <f>'Inputs by customer type'!AN201</f>
        <v>0</v>
      </c>
      <c r="AO158" s="120">
        <f>'Inputs by customer type'!AO201</f>
        <v>0</v>
      </c>
    </row>
    <row r="159" spans="1:43" x14ac:dyDescent="0.35">
      <c r="A159" s="320"/>
      <c r="B159" s="320"/>
      <c r="E159" s="28"/>
      <c r="F159" t="s">
        <v>160</v>
      </c>
      <c r="G159" t="s">
        <v>271</v>
      </c>
      <c r="H159" s="397"/>
      <c r="J159" s="120">
        <f>'Inputs by customer type'!J202</f>
        <v>0</v>
      </c>
      <c r="K159" s="120">
        <f>'Inputs by customer type'!K202</f>
        <v>0</v>
      </c>
      <c r="L159" s="120">
        <f>'Inputs by customer type'!L202</f>
        <v>0</v>
      </c>
      <c r="M159" s="120">
        <f>'Inputs by customer type'!M202</f>
        <v>0</v>
      </c>
      <c r="N159" s="120">
        <f>'Inputs by customer type'!N202</f>
        <v>0</v>
      </c>
      <c r="O159" s="120">
        <f>'Inputs by customer type'!O202</f>
        <v>0</v>
      </c>
      <c r="P159" s="120">
        <f>'Inputs by customer type'!P202</f>
        <v>0</v>
      </c>
      <c r="Q159" s="120">
        <f>'Inputs by customer type'!Q202</f>
        <v>0</v>
      </c>
      <c r="R159" s="120">
        <f>'Inputs by customer type'!R202</f>
        <v>0</v>
      </c>
      <c r="S159" s="120">
        <f>'Inputs by customer type'!S202</f>
        <v>0</v>
      </c>
      <c r="T159" s="120">
        <f>'Inputs by customer type'!T202</f>
        <v>0</v>
      </c>
      <c r="U159" s="120">
        <f>'Inputs by customer type'!U202</f>
        <v>0</v>
      </c>
      <c r="V159" s="120">
        <f>'Inputs by customer type'!V202</f>
        <v>0</v>
      </c>
      <c r="W159" s="120">
        <f>'Inputs by customer type'!W202</f>
        <v>0</v>
      </c>
      <c r="X159" s="120">
        <f>'Inputs by customer type'!X202</f>
        <v>0</v>
      </c>
      <c r="Y159" s="120">
        <f>'Inputs by customer type'!Y202</f>
        <v>0</v>
      </c>
      <c r="Z159" s="120">
        <f>'Inputs by customer type'!Z202</f>
        <v>0</v>
      </c>
      <c r="AA159" s="120">
        <f>'Inputs by customer type'!AA202</f>
        <v>0</v>
      </c>
      <c r="AB159" s="120">
        <f>'Inputs by customer type'!AB202</f>
        <v>0</v>
      </c>
      <c r="AC159" s="120">
        <f>'Inputs by customer type'!AC202</f>
        <v>0</v>
      </c>
      <c r="AD159" s="120">
        <f>'Inputs by customer type'!AD202</f>
        <v>0</v>
      </c>
      <c r="AE159" s="120">
        <f>'Inputs by customer type'!AE202</f>
        <v>0</v>
      </c>
      <c r="AF159" s="120">
        <f>'Inputs by customer type'!AF202</f>
        <v>0</v>
      </c>
      <c r="AG159" s="120">
        <f>'Inputs by customer type'!AG202</f>
        <v>0</v>
      </c>
      <c r="AH159" s="120">
        <f>'Inputs by customer type'!AH202</f>
        <v>0</v>
      </c>
      <c r="AI159" s="120">
        <f>'Inputs by customer type'!AI202</f>
        <v>0</v>
      </c>
      <c r="AJ159" s="120">
        <f>'Inputs by customer type'!AJ202</f>
        <v>0</v>
      </c>
      <c r="AK159" s="120">
        <f>'Inputs by customer type'!AK202</f>
        <v>0</v>
      </c>
      <c r="AL159" s="120">
        <f>'Inputs by customer type'!AL202</f>
        <v>0</v>
      </c>
      <c r="AM159" s="120">
        <f>'Inputs by customer type'!AM202</f>
        <v>0</v>
      </c>
      <c r="AN159" s="120">
        <f>'Inputs by customer type'!AN202</f>
        <v>0</v>
      </c>
      <c r="AO159" s="120">
        <f>'Inputs by customer type'!AO202</f>
        <v>0</v>
      </c>
    </row>
    <row r="160" spans="1:43" x14ac:dyDescent="0.35">
      <c r="A160" s="320"/>
      <c r="B160" s="320"/>
      <c r="E160" s="28"/>
      <c r="F160" t="s">
        <v>161</v>
      </c>
      <c r="G160" t="s">
        <v>271</v>
      </c>
      <c r="H160" s="397"/>
      <c r="J160" s="120">
        <f>'Inputs by customer type'!J203</f>
        <v>0</v>
      </c>
      <c r="K160" s="120">
        <f>'Inputs by customer type'!K203</f>
        <v>0</v>
      </c>
      <c r="L160" s="120">
        <f>'Inputs by customer type'!L203</f>
        <v>0</v>
      </c>
      <c r="M160" s="120">
        <f>'Inputs by customer type'!M203</f>
        <v>0</v>
      </c>
      <c r="N160" s="120">
        <f>'Inputs by customer type'!N203</f>
        <v>0</v>
      </c>
      <c r="O160" s="120">
        <f>'Inputs by customer type'!O203</f>
        <v>0</v>
      </c>
      <c r="P160" s="120">
        <f>'Inputs by customer type'!P203</f>
        <v>0</v>
      </c>
      <c r="Q160" s="120">
        <f>'Inputs by customer type'!Q203</f>
        <v>0</v>
      </c>
      <c r="R160" s="120">
        <f>'Inputs by customer type'!R203</f>
        <v>0</v>
      </c>
      <c r="S160" s="120">
        <f>'Inputs by customer type'!S203</f>
        <v>0</v>
      </c>
      <c r="T160" s="120">
        <f>'Inputs by customer type'!T203</f>
        <v>0</v>
      </c>
      <c r="U160" s="120">
        <f>'Inputs by customer type'!U203</f>
        <v>0</v>
      </c>
      <c r="V160" s="120">
        <f>'Inputs by customer type'!V203</f>
        <v>0</v>
      </c>
      <c r="W160" s="120">
        <f>'Inputs by customer type'!W203</f>
        <v>0</v>
      </c>
      <c r="X160" s="120">
        <f>'Inputs by customer type'!X203</f>
        <v>0</v>
      </c>
      <c r="Y160" s="120">
        <f>'Inputs by customer type'!Y203</f>
        <v>0</v>
      </c>
      <c r="Z160" s="120">
        <f>'Inputs by customer type'!Z203</f>
        <v>0</v>
      </c>
      <c r="AA160" s="120">
        <f>'Inputs by customer type'!AA203</f>
        <v>0</v>
      </c>
      <c r="AB160" s="120">
        <f>'Inputs by customer type'!AB203</f>
        <v>0</v>
      </c>
      <c r="AC160" s="120">
        <f>'Inputs by customer type'!AC203</f>
        <v>0</v>
      </c>
      <c r="AD160" s="120">
        <f>'Inputs by customer type'!AD203</f>
        <v>0</v>
      </c>
      <c r="AE160" s="120">
        <f>'Inputs by customer type'!AE203</f>
        <v>0</v>
      </c>
      <c r="AF160" s="120">
        <f>'Inputs by customer type'!AF203</f>
        <v>0</v>
      </c>
      <c r="AG160" s="120">
        <f>'Inputs by customer type'!AG203</f>
        <v>0</v>
      </c>
      <c r="AH160" s="120">
        <f>'Inputs by customer type'!AH203</f>
        <v>0</v>
      </c>
      <c r="AI160" s="120">
        <f>'Inputs by customer type'!AI203</f>
        <v>0</v>
      </c>
      <c r="AJ160" s="120">
        <f>'Inputs by customer type'!AJ203</f>
        <v>0</v>
      </c>
      <c r="AK160" s="120">
        <f>'Inputs by customer type'!AK203</f>
        <v>0</v>
      </c>
      <c r="AL160" s="120">
        <f>'Inputs by customer type'!AL203</f>
        <v>0</v>
      </c>
      <c r="AM160" s="120">
        <f>'Inputs by customer type'!AM203</f>
        <v>0</v>
      </c>
      <c r="AN160" s="120">
        <f>'Inputs by customer type'!AN203</f>
        <v>0</v>
      </c>
      <c r="AO160" s="120">
        <f>'Inputs by customer type'!AO203</f>
        <v>0</v>
      </c>
    </row>
    <row r="161" spans="1:43" x14ac:dyDescent="0.35">
      <c r="A161" s="320"/>
      <c r="B161" s="320"/>
      <c r="E161" s="28"/>
      <c r="F161" s="37" t="s">
        <v>162</v>
      </c>
      <c r="G161" s="37" t="s">
        <v>272</v>
      </c>
      <c r="H161" s="398"/>
      <c r="I161" s="269"/>
      <c r="J161" s="283">
        <f>'Inputs by customer type'!J204</f>
        <v>0</v>
      </c>
      <c r="K161" s="283">
        <f>'Inputs by customer type'!K204</f>
        <v>0</v>
      </c>
      <c r="L161" s="283">
        <f>'Inputs by customer type'!L204</f>
        <v>0</v>
      </c>
      <c r="M161" s="283">
        <f>'Inputs by customer type'!M204</f>
        <v>0</v>
      </c>
      <c r="N161" s="283">
        <f>'Inputs by customer type'!N204</f>
        <v>0</v>
      </c>
      <c r="O161" s="283">
        <f>'Inputs by customer type'!O204</f>
        <v>0</v>
      </c>
      <c r="P161" s="283">
        <f>'Inputs by customer type'!P204</f>
        <v>0</v>
      </c>
      <c r="Q161" s="283">
        <f>'Inputs by customer type'!Q204</f>
        <v>0</v>
      </c>
      <c r="R161" s="283">
        <f>'Inputs by customer type'!R204</f>
        <v>0</v>
      </c>
      <c r="S161" s="283">
        <f>'Inputs by customer type'!S204</f>
        <v>0</v>
      </c>
      <c r="T161" s="283">
        <f>'Inputs by customer type'!T204</f>
        <v>0</v>
      </c>
      <c r="U161" s="283">
        <f>'Inputs by customer type'!U204</f>
        <v>0</v>
      </c>
      <c r="V161" s="283">
        <f>'Inputs by customer type'!V204</f>
        <v>0</v>
      </c>
      <c r="W161" s="283">
        <f>'Inputs by customer type'!W204</f>
        <v>0</v>
      </c>
      <c r="X161" s="283">
        <f>'Inputs by customer type'!X204</f>
        <v>0</v>
      </c>
      <c r="Y161" s="283">
        <f>'Inputs by customer type'!Y204</f>
        <v>0</v>
      </c>
      <c r="Z161" s="283">
        <f>'Inputs by customer type'!Z204</f>
        <v>0</v>
      </c>
      <c r="AA161" s="283">
        <f>'Inputs by customer type'!AA204</f>
        <v>0</v>
      </c>
      <c r="AB161" s="283">
        <f>'Inputs by customer type'!AB204</f>
        <v>0</v>
      </c>
      <c r="AC161" s="283">
        <f>'Inputs by customer type'!AC204</f>
        <v>0</v>
      </c>
      <c r="AD161" s="283">
        <f>'Inputs by customer type'!AD204</f>
        <v>0</v>
      </c>
      <c r="AE161" s="283">
        <f>'Inputs by customer type'!AE204</f>
        <v>0</v>
      </c>
      <c r="AF161" s="283">
        <f>'Inputs by customer type'!AF204</f>
        <v>0</v>
      </c>
      <c r="AG161" s="283">
        <f>'Inputs by customer type'!AG204</f>
        <v>0</v>
      </c>
      <c r="AH161" s="283">
        <f>'Inputs by customer type'!AH204</f>
        <v>0</v>
      </c>
      <c r="AI161" s="283">
        <f>'Inputs by customer type'!AI204</f>
        <v>0</v>
      </c>
      <c r="AJ161" s="283">
        <f>'Inputs by customer type'!AJ204</f>
        <v>0</v>
      </c>
      <c r="AK161" s="283">
        <f>'Inputs by customer type'!AK204</f>
        <v>0</v>
      </c>
      <c r="AL161" s="283">
        <f>'Inputs by customer type'!AL204</f>
        <v>0</v>
      </c>
      <c r="AM161" s="283">
        <f>'Inputs by customer type'!AM204</f>
        <v>0</v>
      </c>
      <c r="AN161" s="283">
        <f>'Inputs by customer type'!AN204</f>
        <v>0</v>
      </c>
      <c r="AO161" s="283">
        <f>'Inputs by customer type'!AO204</f>
        <v>0</v>
      </c>
      <c r="AP161" s="267"/>
      <c r="AQ161" s="267"/>
    </row>
    <row r="162" spans="1:43" x14ac:dyDescent="0.35">
      <c r="A162" s="320"/>
      <c r="B162" s="320"/>
      <c r="D162" s="28"/>
      <c r="E162" s="72"/>
      <c r="F162" s="72"/>
      <c r="G162" s="72"/>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row>
    <row r="163" spans="1:43" x14ac:dyDescent="0.35">
      <c r="A163" s="320"/>
      <c r="B163" s="320"/>
      <c r="C163" s="31" t="str">
        <f ca="1">INDEX('Version control'!$H$34:$H$57,MATCH($A$1,'Version control'!$F$34:$F$57,0),1)&amp;"-I: Previous year net revenue from all the way tariff forecast"</f>
        <v>Section 118-I: Previous year net revenue from all the way tariff forecast</v>
      </c>
      <c r="D163" s="31"/>
      <c r="E163" s="31"/>
      <c r="F163" s="31"/>
      <c r="G163" s="31"/>
      <c r="H163" s="31"/>
      <c r="I163" s="31"/>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31"/>
      <c r="AQ163" s="31"/>
    </row>
    <row r="164" spans="1:43" x14ac:dyDescent="0.35">
      <c r="A164" s="320"/>
      <c r="B164" s="320"/>
      <c r="D164" s="32"/>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row>
    <row r="165" spans="1:43" x14ac:dyDescent="0.35">
      <c r="A165" s="320"/>
      <c r="B165" s="320"/>
      <c r="D165" s="29" t="s">
        <v>781</v>
      </c>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row>
    <row r="166" spans="1:43" x14ac:dyDescent="0.35">
      <c r="A166" s="320"/>
      <c r="B166" s="320"/>
      <c r="D166" s="91" t="s">
        <v>782</v>
      </c>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1:43" x14ac:dyDescent="0.35">
      <c r="A167" s="320"/>
      <c r="B167" s="320"/>
      <c r="C167" s="88"/>
      <c r="D167" s="2"/>
      <c r="E167" s="2"/>
      <c r="G167" s="13"/>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row>
    <row r="168" spans="1:43" x14ac:dyDescent="0.35">
      <c r="A168" s="320"/>
      <c r="B168" s="320"/>
      <c r="E168" s="108" t="s">
        <v>783</v>
      </c>
      <c r="F168" s="108"/>
      <c r="G168" s="108" t="s">
        <v>277</v>
      </c>
      <c r="H168" s="108"/>
      <c r="I168" s="108"/>
      <c r="J168" s="217">
        <f>'Inputs by customer type'!J213</f>
        <v>0</v>
      </c>
      <c r="K168" s="217">
        <f>'Inputs by customer type'!K213</f>
        <v>0</v>
      </c>
      <c r="L168" s="217">
        <f>'Inputs by customer type'!L213</f>
        <v>0</v>
      </c>
      <c r="M168" s="217">
        <f>'Inputs by customer type'!M213</f>
        <v>0</v>
      </c>
      <c r="N168" s="217">
        <f>'Inputs by customer type'!N213</f>
        <v>0</v>
      </c>
      <c r="O168" s="217">
        <f>'Inputs by customer type'!O213</f>
        <v>0</v>
      </c>
      <c r="P168" s="217">
        <f>'Inputs by customer type'!P213</f>
        <v>0</v>
      </c>
      <c r="Q168" s="217">
        <f>'Inputs by customer type'!Q213</f>
        <v>0</v>
      </c>
      <c r="R168" s="217">
        <f>'Inputs by customer type'!R213</f>
        <v>0</v>
      </c>
      <c r="S168" s="217">
        <f>'Inputs by customer type'!S213</f>
        <v>0</v>
      </c>
      <c r="T168" s="217">
        <f>'Inputs by customer type'!T213</f>
        <v>0</v>
      </c>
      <c r="U168" s="217">
        <f>'Inputs by customer type'!U213</f>
        <v>0</v>
      </c>
      <c r="V168" s="217">
        <f>'Inputs by customer type'!V213</f>
        <v>0</v>
      </c>
      <c r="W168" s="217">
        <f>'Inputs by customer type'!W213</f>
        <v>0</v>
      </c>
      <c r="X168" s="217">
        <f>'Inputs by customer type'!X213</f>
        <v>0</v>
      </c>
      <c r="Y168" s="217">
        <f>'Inputs by customer type'!Y213</f>
        <v>0</v>
      </c>
      <c r="Z168" s="217">
        <f>'Inputs by customer type'!Z213</f>
        <v>0</v>
      </c>
      <c r="AA168" s="217">
        <f>'Inputs by customer type'!AA213</f>
        <v>0</v>
      </c>
      <c r="AB168" s="217">
        <f>'Inputs by customer type'!AB213</f>
        <v>0</v>
      </c>
      <c r="AC168" s="217">
        <f>'Inputs by customer type'!AC213</f>
        <v>0</v>
      </c>
      <c r="AD168" s="217">
        <f>'Inputs by customer type'!AD213</f>
        <v>0</v>
      </c>
      <c r="AE168" s="217">
        <f>'Inputs by customer type'!AE213</f>
        <v>0</v>
      </c>
      <c r="AF168" s="217">
        <f>'Inputs by customer type'!AF213</f>
        <v>0</v>
      </c>
      <c r="AG168" s="217">
        <f>'Inputs by customer type'!AG213</f>
        <v>0</v>
      </c>
      <c r="AH168" s="217">
        <f>'Inputs by customer type'!AH213</f>
        <v>0</v>
      </c>
      <c r="AI168" s="217">
        <f>'Inputs by customer type'!AI213</f>
        <v>0</v>
      </c>
      <c r="AJ168" s="217">
        <f>'Inputs by customer type'!AJ213</f>
        <v>0</v>
      </c>
      <c r="AK168" s="217">
        <f>'Inputs by customer type'!AK213</f>
        <v>0</v>
      </c>
      <c r="AL168" s="217">
        <f>'Inputs by customer type'!AL213</f>
        <v>0</v>
      </c>
      <c r="AM168" s="217">
        <f>'Inputs by customer type'!AM213</f>
        <v>0</v>
      </c>
      <c r="AN168" s="217">
        <f>'Inputs by customer type'!AN213</f>
        <v>0</v>
      </c>
      <c r="AO168" s="217">
        <f>'Inputs by customer type'!AO213</f>
        <v>0</v>
      </c>
    </row>
    <row r="169" spans="1:43" x14ac:dyDescent="0.35">
      <c r="D169" s="28"/>
      <c r="E169" s="72"/>
      <c r="F169" s="72"/>
      <c r="G169" s="72"/>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row>
    <row r="170" spans="1:43" x14ac:dyDescent="0.35">
      <c r="E170" t="s">
        <v>784</v>
      </c>
      <c r="G170" t="s">
        <v>277</v>
      </c>
      <c r="J170" s="98">
        <f t="shared" ref="J170:AO170" si="36">IF(J168 = 0, SUMPRODUCT(J25:J27, J158:J160) / hundred * days_in_year + ( SUMPRODUCT(J22:J24, J155:J157)  + J161*J28) * ten, J168)</f>
        <v>0</v>
      </c>
      <c r="K170" s="98">
        <f t="shared" si="36"/>
        <v>0</v>
      </c>
      <c r="L170" s="98">
        <f t="shared" si="36"/>
        <v>0</v>
      </c>
      <c r="M170" s="98">
        <f t="shared" si="36"/>
        <v>0</v>
      </c>
      <c r="N170" s="98">
        <f t="shared" si="36"/>
        <v>0</v>
      </c>
      <c r="O170" s="98">
        <f t="shared" si="36"/>
        <v>0</v>
      </c>
      <c r="P170" s="98">
        <f t="shared" si="36"/>
        <v>0</v>
      </c>
      <c r="Q170" s="98">
        <f t="shared" si="36"/>
        <v>0</v>
      </c>
      <c r="R170" s="98">
        <f t="shared" si="36"/>
        <v>0</v>
      </c>
      <c r="S170" s="98">
        <f t="shared" si="36"/>
        <v>0</v>
      </c>
      <c r="T170" s="98">
        <f t="shared" si="36"/>
        <v>0</v>
      </c>
      <c r="U170" s="98">
        <f t="shared" si="36"/>
        <v>0</v>
      </c>
      <c r="V170" s="98">
        <f t="shared" si="36"/>
        <v>0</v>
      </c>
      <c r="W170" s="98">
        <f t="shared" si="36"/>
        <v>0</v>
      </c>
      <c r="X170" s="98">
        <f t="shared" si="36"/>
        <v>0</v>
      </c>
      <c r="Y170" s="98">
        <f t="shared" si="36"/>
        <v>0</v>
      </c>
      <c r="Z170" s="98">
        <f t="shared" si="36"/>
        <v>0</v>
      </c>
      <c r="AA170" s="98">
        <f t="shared" si="36"/>
        <v>0</v>
      </c>
      <c r="AB170" s="98">
        <f t="shared" si="36"/>
        <v>0</v>
      </c>
      <c r="AC170" s="98">
        <f t="shared" si="36"/>
        <v>0</v>
      </c>
      <c r="AD170" s="98">
        <f t="shared" si="36"/>
        <v>0</v>
      </c>
      <c r="AE170" s="98">
        <f t="shared" si="36"/>
        <v>0</v>
      </c>
      <c r="AF170" s="98">
        <f t="shared" si="36"/>
        <v>0</v>
      </c>
      <c r="AG170" s="98">
        <f t="shared" si="36"/>
        <v>0</v>
      </c>
      <c r="AH170" s="98">
        <f t="shared" si="36"/>
        <v>0</v>
      </c>
      <c r="AI170" s="98">
        <f t="shared" si="36"/>
        <v>0</v>
      </c>
      <c r="AJ170" s="98">
        <f t="shared" si="36"/>
        <v>0</v>
      </c>
      <c r="AK170" s="98">
        <f t="shared" si="36"/>
        <v>0</v>
      </c>
      <c r="AL170" s="98">
        <f t="shared" si="36"/>
        <v>0</v>
      </c>
      <c r="AM170" s="98">
        <f t="shared" si="36"/>
        <v>0</v>
      </c>
      <c r="AN170" s="98">
        <f t="shared" si="36"/>
        <v>0</v>
      </c>
      <c r="AO170" s="98">
        <f t="shared" si="36"/>
        <v>0</v>
      </c>
    </row>
    <row r="171" spans="1:43" x14ac:dyDescent="0.35">
      <c r="F171" s="3"/>
      <c r="G171" s="212"/>
      <c r="H171" s="3"/>
      <c r="I171" s="3"/>
    </row>
    <row r="172" spans="1:43" x14ac:dyDescent="0.35">
      <c r="E172" t="s">
        <v>785</v>
      </c>
      <c r="G172" s="13" t="s">
        <v>167</v>
      </c>
      <c r="J172" s="427" t="str">
        <f t="shared" ref="J172:AH172" si="37">IF( J170 &lt;&gt; 0, (J102 - J170) / J170, "-")</f>
        <v>-</v>
      </c>
      <c r="K172" s="427" t="str">
        <f t="shared" si="37"/>
        <v>-</v>
      </c>
      <c r="L172" s="427" t="str">
        <f t="shared" si="37"/>
        <v>-</v>
      </c>
      <c r="M172" s="427" t="str">
        <f t="shared" si="37"/>
        <v>-</v>
      </c>
      <c r="N172" s="427" t="str">
        <f t="shared" si="37"/>
        <v>-</v>
      </c>
      <c r="O172" s="427" t="str">
        <f t="shared" si="37"/>
        <v>-</v>
      </c>
      <c r="P172" s="427" t="str">
        <f t="shared" si="37"/>
        <v>-</v>
      </c>
      <c r="Q172" s="427" t="str">
        <f t="shared" si="37"/>
        <v>-</v>
      </c>
      <c r="R172" s="427" t="str">
        <f t="shared" si="37"/>
        <v>-</v>
      </c>
      <c r="S172" s="427" t="str">
        <f t="shared" si="37"/>
        <v>-</v>
      </c>
      <c r="T172" s="427" t="str">
        <f t="shared" si="37"/>
        <v>-</v>
      </c>
      <c r="U172" s="427" t="str">
        <f t="shared" si="37"/>
        <v>-</v>
      </c>
      <c r="V172" s="427" t="str">
        <f t="shared" si="37"/>
        <v>-</v>
      </c>
      <c r="W172" s="427" t="str">
        <f t="shared" si="37"/>
        <v>-</v>
      </c>
      <c r="X172" s="427" t="str">
        <f t="shared" si="37"/>
        <v>-</v>
      </c>
      <c r="Y172" s="427" t="str">
        <f t="shared" si="37"/>
        <v>-</v>
      </c>
      <c r="Z172" s="427" t="str">
        <f t="shared" si="37"/>
        <v>-</v>
      </c>
      <c r="AA172" s="427" t="str">
        <f t="shared" si="37"/>
        <v>-</v>
      </c>
      <c r="AB172" s="427" t="str">
        <f t="shared" si="37"/>
        <v>-</v>
      </c>
      <c r="AC172" s="427" t="str">
        <f t="shared" si="37"/>
        <v>-</v>
      </c>
      <c r="AD172" s="427" t="str">
        <f t="shared" si="37"/>
        <v>-</v>
      </c>
      <c r="AE172" s="427" t="str">
        <f t="shared" si="37"/>
        <v>-</v>
      </c>
      <c r="AF172" s="427" t="str">
        <f t="shared" si="37"/>
        <v>-</v>
      </c>
      <c r="AG172" s="427" t="str">
        <f t="shared" si="37"/>
        <v>-</v>
      </c>
      <c r="AH172" s="427" t="str">
        <f t="shared" si="37"/>
        <v>-</v>
      </c>
      <c r="AI172" s="427" t="str">
        <f>IF( AI170 &lt;&gt; 0, (AI102 - AI170) / AI170, "-")</f>
        <v>-</v>
      </c>
      <c r="AJ172" s="427" t="str">
        <f t="shared" ref="AJ172:AO172" si="38">IF( AJ170 &lt;&gt; 0, (AJ102 - AJ170) / AJ170, "-")</f>
        <v>-</v>
      </c>
      <c r="AK172" s="427" t="str">
        <f t="shared" si="38"/>
        <v>-</v>
      </c>
      <c r="AL172" s="427" t="str">
        <f t="shared" si="38"/>
        <v>-</v>
      </c>
      <c r="AM172" s="427" t="str">
        <f t="shared" si="38"/>
        <v>-</v>
      </c>
      <c r="AN172" s="427" t="str">
        <f t="shared" si="38"/>
        <v>-</v>
      </c>
      <c r="AO172" s="427" t="str">
        <f t="shared" si="38"/>
        <v>-</v>
      </c>
    </row>
    <row r="173" spans="1:43" x14ac:dyDescent="0.35">
      <c r="C173" s="88"/>
      <c r="D173" s="2"/>
      <c r="E173" s="2"/>
      <c r="G173" s="13"/>
    </row>
    <row r="174" spans="1:43" x14ac:dyDescent="0.35">
      <c r="E174" t="s">
        <v>786</v>
      </c>
      <c r="G174" s="13" t="s">
        <v>269</v>
      </c>
      <c r="H174" s="267"/>
      <c r="I174" s="267"/>
      <c r="J174" s="275">
        <f t="shared" ref="J174:AO174" si="39" xml:space="preserve"> IF( SUM(J22:J24) = 0, "-", (J102 - J170) / SUM(J22:J24)/ ten)</f>
        <v>4.9836472700077739</v>
      </c>
      <c r="K174" s="275">
        <f t="shared" si="39"/>
        <v>1.3151050899485042</v>
      </c>
      <c r="L174" s="275" t="str">
        <f t="shared" si="39"/>
        <v>-</v>
      </c>
      <c r="M174" s="275">
        <f t="shared" si="39"/>
        <v>6.5653869409868495</v>
      </c>
      <c r="N174" s="275">
        <f t="shared" si="39"/>
        <v>3.8948926593763344</v>
      </c>
      <c r="O174" s="275">
        <f t="shared" si="39"/>
        <v>3.5721036180964818</v>
      </c>
      <c r="P174" s="275">
        <f t="shared" si="39"/>
        <v>3.4192635264443658</v>
      </c>
      <c r="Q174" s="275">
        <f t="shared" si="39"/>
        <v>1.4193282415519053</v>
      </c>
      <c r="R174" s="275" t="str">
        <f t="shared" si="39"/>
        <v>-</v>
      </c>
      <c r="S174" s="275">
        <f t="shared" si="39"/>
        <v>4.0221249064923557</v>
      </c>
      <c r="T174" s="275">
        <f t="shared" si="39"/>
        <v>3.9563465988056756</v>
      </c>
      <c r="U174" s="275">
        <f t="shared" si="39"/>
        <v>3.9461409970145205</v>
      </c>
      <c r="V174" s="275">
        <f t="shared" si="39"/>
        <v>3.9774191242670711</v>
      </c>
      <c r="W174" s="275" t="str">
        <f t="shared" si="39"/>
        <v>-</v>
      </c>
      <c r="X174" s="275">
        <f t="shared" si="39"/>
        <v>2.1759712156545072</v>
      </c>
      <c r="Y174" s="275">
        <f t="shared" si="39"/>
        <v>2.5983835552952241</v>
      </c>
      <c r="Z174" s="275">
        <f t="shared" si="39"/>
        <v>2.6369692969005709</v>
      </c>
      <c r="AA174" s="275">
        <f t="shared" si="39"/>
        <v>2.4961147864053879</v>
      </c>
      <c r="AB174" s="275" t="str">
        <f t="shared" si="39"/>
        <v>-</v>
      </c>
      <c r="AC174" s="275">
        <f t="shared" si="39"/>
        <v>4.375091781765148</v>
      </c>
      <c r="AD174" s="275">
        <f t="shared" si="39"/>
        <v>3.7663554082698498</v>
      </c>
      <c r="AE174" s="275">
        <f t="shared" si="39"/>
        <v>3.7183276450929368</v>
      </c>
      <c r="AF174" s="275">
        <f t="shared" si="39"/>
        <v>3.6955981499349355</v>
      </c>
      <c r="AG174" s="275">
        <f t="shared" si="39"/>
        <v>5.0617339584602856</v>
      </c>
      <c r="AH174" s="275">
        <f t="shared" si="39"/>
        <v>-1.6548849955157579</v>
      </c>
      <c r="AI174" s="275">
        <f t="shared" si="39"/>
        <v>-1.4412994628469114</v>
      </c>
      <c r="AJ174" s="275">
        <f t="shared" si="39"/>
        <v>-1.4512986733288524</v>
      </c>
      <c r="AK174" s="275" t="str">
        <f t="shared" si="39"/>
        <v>-</v>
      </c>
      <c r="AL174" s="275">
        <f t="shared" si="39"/>
        <v>-1.3309117880262025</v>
      </c>
      <c r="AM174" s="275" t="str">
        <f t="shared" si="39"/>
        <v>-</v>
      </c>
      <c r="AN174" s="275">
        <f t="shared" si="39"/>
        <v>-0.67442361546482454</v>
      </c>
      <c r="AO174" s="275" t="str">
        <f t="shared" si="39"/>
        <v>-</v>
      </c>
      <c r="AP174" s="267"/>
      <c r="AQ174" s="267"/>
    </row>
    <row r="175" spans="1:43" x14ac:dyDescent="0.35">
      <c r="C175" s="88"/>
      <c r="D175" s="2"/>
      <c r="E175" s="2"/>
      <c r="G175" s="13"/>
    </row>
    <row r="176" spans="1:43" x14ac:dyDescent="0.35">
      <c r="B176" s="30" t="s">
        <v>787</v>
      </c>
      <c r="C176" s="30"/>
      <c r="D176" s="30"/>
      <c r="E176" s="30"/>
      <c r="F176" s="30"/>
      <c r="G176" s="9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3:43" x14ac:dyDescent="0.35">
      <c r="F177" s="3"/>
      <c r="G177" s="212"/>
      <c r="H177" s="3"/>
      <c r="I177" s="3"/>
    </row>
    <row r="178" spans="3:43" x14ac:dyDescent="0.35">
      <c r="C178" s="31" t="str">
        <f ca="1">INDEX('Version control'!$H$34:$H$57,MATCH($A$1,'Version control'!$F$34:$F$57,0),1)&amp;"-J: LDNO typical bills using all-the-way volumes"</f>
        <v>Section 118-J: LDNO typical bills using all-the-way volumes</v>
      </c>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row>
    <row r="179" spans="3:43" x14ac:dyDescent="0.35">
      <c r="C179" s="88"/>
      <c r="D179" s="2"/>
      <c r="E179" s="2"/>
      <c r="G179" s="13"/>
    </row>
    <row r="180" spans="3:43" x14ac:dyDescent="0.35">
      <c r="E180" s="32" t="s">
        <v>788</v>
      </c>
      <c r="G180" s="13"/>
      <c r="H180" s="128"/>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3:43" x14ac:dyDescent="0.35">
      <c r="E181" s="29" t="s">
        <v>789</v>
      </c>
    </row>
    <row r="182" spans="3:43" x14ac:dyDescent="0.35">
      <c r="E182" s="28"/>
      <c r="F182" s="23" t="s">
        <v>156</v>
      </c>
      <c r="G182" s="85" t="s">
        <v>790</v>
      </c>
      <c r="H182" s="218"/>
      <c r="I182" s="23"/>
      <c r="J182" s="126">
        <f t="shared" ref="J182:AO182" si="40" xml:space="preserve"> IF( J$25 &lt;&gt; 0, J$22 * thousand * J64 / hundred / J$25, 0)</f>
        <v>28.21657432959201</v>
      </c>
      <c r="K182" s="126">
        <f t="shared" si="40"/>
        <v>8.0314737255060145</v>
      </c>
      <c r="L182" s="126">
        <f t="shared" si="40"/>
        <v>0</v>
      </c>
      <c r="M182" s="126">
        <f t="shared" si="40"/>
        <v>8.6259287237918407</v>
      </c>
      <c r="N182" s="126">
        <f t="shared" si="40"/>
        <v>51.043749675072867</v>
      </c>
      <c r="O182" s="126">
        <f t="shared" si="40"/>
        <v>125.95777964048828</v>
      </c>
      <c r="P182" s="126">
        <f t="shared" si="40"/>
        <v>412.13519987925127</v>
      </c>
      <c r="Q182" s="126">
        <f t="shared" si="40"/>
        <v>13.250040212740698</v>
      </c>
      <c r="R182" s="126">
        <f t="shared" si="40"/>
        <v>0</v>
      </c>
      <c r="S182" s="126">
        <f t="shared" si="40"/>
        <v>453.77483144320126</v>
      </c>
      <c r="T182" s="126">
        <f t="shared" si="40"/>
        <v>866.14337695665586</v>
      </c>
      <c r="U182" s="126">
        <f t="shared" si="40"/>
        <v>1423.8080579326584</v>
      </c>
      <c r="V182" s="126">
        <f t="shared" si="40"/>
        <v>3156.5955903337931</v>
      </c>
      <c r="W182" s="126">
        <f t="shared" si="40"/>
        <v>0</v>
      </c>
      <c r="X182" s="126">
        <f t="shared" si="40"/>
        <v>0</v>
      </c>
      <c r="Y182" s="126">
        <f t="shared" si="40"/>
        <v>0</v>
      </c>
      <c r="Z182" s="126">
        <f t="shared" si="40"/>
        <v>0</v>
      </c>
      <c r="AA182" s="126">
        <f t="shared" si="40"/>
        <v>0</v>
      </c>
      <c r="AB182" s="126">
        <f t="shared" si="40"/>
        <v>0</v>
      </c>
      <c r="AC182" s="126">
        <f t="shared" si="40"/>
        <v>0</v>
      </c>
      <c r="AD182" s="126">
        <f t="shared" si="40"/>
        <v>0</v>
      </c>
      <c r="AE182" s="126">
        <f t="shared" si="40"/>
        <v>0</v>
      </c>
      <c r="AF182" s="126">
        <f t="shared" si="40"/>
        <v>0</v>
      </c>
      <c r="AG182" s="126">
        <f t="shared" si="40"/>
        <v>392.55453347995604</v>
      </c>
      <c r="AH182" s="126">
        <f t="shared" si="40"/>
        <v>-116.92507504715581</v>
      </c>
      <c r="AI182" s="126">
        <f t="shared" si="40"/>
        <v>0</v>
      </c>
      <c r="AJ182" s="126">
        <f t="shared" si="40"/>
        <v>-3083.7065609031752</v>
      </c>
      <c r="AK182" s="126">
        <f t="shared" si="40"/>
        <v>0</v>
      </c>
      <c r="AL182" s="126">
        <f t="shared" si="40"/>
        <v>0</v>
      </c>
      <c r="AM182" s="126">
        <f t="shared" si="40"/>
        <v>0</v>
      </c>
      <c r="AN182" s="126">
        <f t="shared" si="40"/>
        <v>0</v>
      </c>
      <c r="AO182" s="126">
        <f t="shared" si="40"/>
        <v>0</v>
      </c>
    </row>
    <row r="183" spans="3:43" x14ac:dyDescent="0.35">
      <c r="E183" s="28"/>
      <c r="F183" t="s">
        <v>157</v>
      </c>
      <c r="G183" s="13" t="s">
        <v>790</v>
      </c>
      <c r="H183" s="102"/>
      <c r="J183" s="98">
        <f t="shared" ref="J183:AO183" si="41" xml:space="preserve"> IF( J$25 &lt;&gt; 0, J$23 * thousand * J65 / hundred / J$25, 0)</f>
        <v>22.483868380184035</v>
      </c>
      <c r="K183" s="98">
        <f t="shared" si="41"/>
        <v>25.995113652744809</v>
      </c>
      <c r="L183" s="98">
        <f t="shared" si="41"/>
        <v>0</v>
      </c>
      <c r="M183" s="98">
        <f t="shared" si="41"/>
        <v>9.3366661084541551</v>
      </c>
      <c r="N183" s="98">
        <f t="shared" si="41"/>
        <v>55.249523025292653</v>
      </c>
      <c r="O183" s="98">
        <f t="shared" si="41"/>
        <v>136.33612911984724</v>
      </c>
      <c r="P183" s="98">
        <f t="shared" si="41"/>
        <v>446.09327018900615</v>
      </c>
      <c r="Q183" s="98">
        <f t="shared" si="41"/>
        <v>53.974685504711211</v>
      </c>
      <c r="R183" s="98">
        <f t="shared" si="41"/>
        <v>0</v>
      </c>
      <c r="S183" s="98">
        <f t="shared" si="41"/>
        <v>459.84498780631668</v>
      </c>
      <c r="T183" s="98">
        <f t="shared" si="41"/>
        <v>877.72979684310553</v>
      </c>
      <c r="U183" s="98">
        <f t="shared" si="41"/>
        <v>1442.8543710902818</v>
      </c>
      <c r="V183" s="98">
        <f t="shared" si="41"/>
        <v>3198.8214421896719</v>
      </c>
      <c r="W183" s="98">
        <f t="shared" si="41"/>
        <v>0</v>
      </c>
      <c r="X183" s="98">
        <f t="shared" si="41"/>
        <v>0</v>
      </c>
      <c r="Y183" s="98">
        <f t="shared" si="41"/>
        <v>0</v>
      </c>
      <c r="Z183" s="98">
        <f t="shared" si="41"/>
        <v>0</v>
      </c>
      <c r="AA183" s="98">
        <f t="shared" si="41"/>
        <v>0</v>
      </c>
      <c r="AB183" s="98">
        <f t="shared" si="41"/>
        <v>0</v>
      </c>
      <c r="AC183" s="98">
        <f t="shared" si="41"/>
        <v>0</v>
      </c>
      <c r="AD183" s="98">
        <f t="shared" si="41"/>
        <v>0</v>
      </c>
      <c r="AE183" s="98">
        <f t="shared" si="41"/>
        <v>0</v>
      </c>
      <c r="AF183" s="98">
        <f t="shared" si="41"/>
        <v>0</v>
      </c>
      <c r="AG183" s="98">
        <f t="shared" si="41"/>
        <v>534.85048573324912</v>
      </c>
      <c r="AH183" s="98">
        <f t="shared" si="41"/>
        <v>-130.77774274211555</v>
      </c>
      <c r="AI183" s="98">
        <f t="shared" si="41"/>
        <v>0</v>
      </c>
      <c r="AJ183" s="98">
        <f t="shared" si="41"/>
        <v>-3067.3539850425104</v>
      </c>
      <c r="AK183" s="98">
        <f t="shared" si="41"/>
        <v>0</v>
      </c>
      <c r="AL183" s="98">
        <f t="shared" si="41"/>
        <v>0</v>
      </c>
      <c r="AM183" s="98">
        <f t="shared" si="41"/>
        <v>0</v>
      </c>
      <c r="AN183" s="98">
        <f t="shared" si="41"/>
        <v>0</v>
      </c>
      <c r="AO183" s="98">
        <f t="shared" si="41"/>
        <v>0</v>
      </c>
    </row>
    <row r="184" spans="3:43" x14ac:dyDescent="0.35">
      <c r="E184" s="28"/>
      <c r="F184" t="s">
        <v>158</v>
      </c>
      <c r="G184" s="13" t="s">
        <v>790</v>
      </c>
      <c r="H184" s="102"/>
      <c r="J184" s="98">
        <f t="shared" ref="J184:AO184" si="42" xml:space="preserve"> IF( J$25 &lt;&gt; 0, J$24 * thousand * J66 / hundred / J$25, 0)</f>
        <v>6.420136485363364</v>
      </c>
      <c r="K184" s="98">
        <f t="shared" si="42"/>
        <v>13.082385701614605</v>
      </c>
      <c r="L184" s="98">
        <f t="shared" si="42"/>
        <v>0</v>
      </c>
      <c r="M184" s="98">
        <f t="shared" si="42"/>
        <v>2.1794374153077039</v>
      </c>
      <c r="N184" s="98">
        <f t="shared" si="42"/>
        <v>12.896774529636007</v>
      </c>
      <c r="O184" s="98">
        <f t="shared" si="42"/>
        <v>31.824642480570958</v>
      </c>
      <c r="P184" s="98">
        <f t="shared" si="42"/>
        <v>104.13056999934408</v>
      </c>
      <c r="Q184" s="98">
        <f t="shared" si="42"/>
        <v>30.142218690208185</v>
      </c>
      <c r="R184" s="98">
        <f t="shared" si="42"/>
        <v>0</v>
      </c>
      <c r="S184" s="98">
        <f t="shared" si="42"/>
        <v>128.68765201967366</v>
      </c>
      <c r="T184" s="98">
        <f t="shared" si="42"/>
        <v>245.63274507412783</v>
      </c>
      <c r="U184" s="98">
        <f t="shared" si="42"/>
        <v>403.78289672722769</v>
      </c>
      <c r="V184" s="98">
        <f t="shared" si="42"/>
        <v>895.19040446507734</v>
      </c>
      <c r="W184" s="98">
        <f t="shared" si="42"/>
        <v>0</v>
      </c>
      <c r="X184" s="98">
        <f t="shared" si="42"/>
        <v>0</v>
      </c>
      <c r="Y184" s="98">
        <f t="shared" si="42"/>
        <v>0</v>
      </c>
      <c r="Z184" s="98">
        <f t="shared" si="42"/>
        <v>0</v>
      </c>
      <c r="AA184" s="98">
        <f t="shared" si="42"/>
        <v>0</v>
      </c>
      <c r="AB184" s="98">
        <f t="shared" si="42"/>
        <v>0</v>
      </c>
      <c r="AC184" s="98">
        <f t="shared" si="42"/>
        <v>0</v>
      </c>
      <c r="AD184" s="98">
        <f t="shared" si="42"/>
        <v>0</v>
      </c>
      <c r="AE184" s="98">
        <f t="shared" si="42"/>
        <v>0</v>
      </c>
      <c r="AF184" s="98">
        <f t="shared" si="42"/>
        <v>0</v>
      </c>
      <c r="AG184" s="98">
        <f t="shared" si="42"/>
        <v>894.6695852683564</v>
      </c>
      <c r="AH184" s="98">
        <f t="shared" si="42"/>
        <v>-27.469234391686349</v>
      </c>
      <c r="AI184" s="98">
        <f t="shared" si="42"/>
        <v>0</v>
      </c>
      <c r="AJ184" s="98">
        <f t="shared" si="42"/>
        <v>-1164.0057298508061</v>
      </c>
      <c r="AK184" s="98">
        <f t="shared" si="42"/>
        <v>0</v>
      </c>
      <c r="AL184" s="98">
        <f t="shared" si="42"/>
        <v>0</v>
      </c>
      <c r="AM184" s="98">
        <f t="shared" si="42"/>
        <v>0</v>
      </c>
      <c r="AN184" s="98">
        <f t="shared" si="42"/>
        <v>0</v>
      </c>
      <c r="AO184" s="98">
        <f t="shared" si="42"/>
        <v>0</v>
      </c>
    </row>
    <row r="185" spans="3:43" x14ac:dyDescent="0.35">
      <c r="E185" s="28"/>
      <c r="F185" s="23" t="s">
        <v>159</v>
      </c>
      <c r="G185" s="85" t="s">
        <v>790</v>
      </c>
      <c r="H185" s="218"/>
      <c r="I185" s="23"/>
      <c r="J185" s="126">
        <f t="shared" ref="J185:AO185" si="43" xml:space="preserve"> IF( J$25 &lt;&gt; 0, J$25 * J67 * days_in_year / hundred / J$25, 0)</f>
        <v>81.540999999999997</v>
      </c>
      <c r="K185" s="126">
        <f t="shared" si="43"/>
        <v>0</v>
      </c>
      <c r="L185" s="126">
        <f t="shared" si="43"/>
        <v>0</v>
      </c>
      <c r="M185" s="126">
        <f t="shared" si="43"/>
        <v>34.529000000000003</v>
      </c>
      <c r="N185" s="126">
        <f t="shared" si="43"/>
        <v>72.671500000000009</v>
      </c>
      <c r="O185" s="126">
        <f t="shared" si="43"/>
        <v>140.0505</v>
      </c>
      <c r="P185" s="126">
        <f t="shared" si="43"/>
        <v>397.33899999999994</v>
      </c>
      <c r="Q185" s="126">
        <f t="shared" si="43"/>
        <v>0</v>
      </c>
      <c r="R185" s="126">
        <f t="shared" si="43"/>
        <v>0</v>
      </c>
      <c r="S185" s="126">
        <f t="shared" si="43"/>
        <v>653.13100000000009</v>
      </c>
      <c r="T185" s="126">
        <f t="shared" si="43"/>
        <v>1167.9635000000001</v>
      </c>
      <c r="U185" s="126">
        <f t="shared" si="43"/>
        <v>1899.8249999999998</v>
      </c>
      <c r="V185" s="126">
        <f t="shared" si="43"/>
        <v>4348.2085000000006</v>
      </c>
      <c r="W185" s="126">
        <f t="shared" si="43"/>
        <v>0</v>
      </c>
      <c r="X185" s="126">
        <f t="shared" si="43"/>
        <v>0</v>
      </c>
      <c r="Y185" s="126">
        <f t="shared" si="43"/>
        <v>0</v>
      </c>
      <c r="Z185" s="126">
        <f t="shared" si="43"/>
        <v>0</v>
      </c>
      <c r="AA185" s="126">
        <f t="shared" si="43"/>
        <v>0</v>
      </c>
      <c r="AB185" s="126">
        <f t="shared" si="43"/>
        <v>0</v>
      </c>
      <c r="AC185" s="126">
        <f t="shared" si="43"/>
        <v>0</v>
      </c>
      <c r="AD185" s="126">
        <f t="shared" si="43"/>
        <v>0</v>
      </c>
      <c r="AE185" s="126">
        <f t="shared" si="43"/>
        <v>0</v>
      </c>
      <c r="AF185" s="126">
        <f t="shared" si="43"/>
        <v>0</v>
      </c>
      <c r="AG185" s="126">
        <f t="shared" si="43"/>
        <v>0</v>
      </c>
      <c r="AH185" s="126">
        <f t="shared" si="43"/>
        <v>0</v>
      </c>
      <c r="AI185" s="126">
        <f t="shared" si="43"/>
        <v>0</v>
      </c>
      <c r="AJ185" s="126">
        <f t="shared" si="43"/>
        <v>0</v>
      </c>
      <c r="AK185" s="126">
        <f t="shared" si="43"/>
        <v>0</v>
      </c>
      <c r="AL185" s="126">
        <f t="shared" si="43"/>
        <v>0</v>
      </c>
      <c r="AM185" s="126">
        <f t="shared" si="43"/>
        <v>0</v>
      </c>
      <c r="AN185" s="126">
        <f t="shared" si="43"/>
        <v>0</v>
      </c>
      <c r="AO185" s="126">
        <f t="shared" si="43"/>
        <v>0</v>
      </c>
    </row>
    <row r="186" spans="3:43" x14ac:dyDescent="0.35">
      <c r="E186" s="28"/>
      <c r="F186" t="s">
        <v>160</v>
      </c>
      <c r="G186" s="13" t="s">
        <v>790</v>
      </c>
      <c r="H186" s="102"/>
      <c r="J186" s="98">
        <f t="shared" ref="J186:AO186" si="44" xml:space="preserve"> IF( J$25 &lt;&gt; 0, J$26 * J68 * days_in_year / hundred / J$25, 0)</f>
        <v>0</v>
      </c>
      <c r="K186" s="98">
        <f t="shared" si="44"/>
        <v>0</v>
      </c>
      <c r="L186" s="98">
        <f t="shared" si="44"/>
        <v>0</v>
      </c>
      <c r="M186" s="98">
        <f t="shared" si="44"/>
        <v>0</v>
      </c>
      <c r="N186" s="98">
        <f t="shared" si="44"/>
        <v>0</v>
      </c>
      <c r="O186" s="98">
        <f t="shared" si="44"/>
        <v>0</v>
      </c>
      <c r="P186" s="98">
        <f t="shared" si="44"/>
        <v>0</v>
      </c>
      <c r="Q186" s="98">
        <f t="shared" si="44"/>
        <v>0</v>
      </c>
      <c r="R186" s="98">
        <f t="shared" si="44"/>
        <v>0</v>
      </c>
      <c r="S186" s="98">
        <f t="shared" si="44"/>
        <v>776.29937263815816</v>
      </c>
      <c r="T186" s="98">
        <f t="shared" si="44"/>
        <v>1481.7625693511163</v>
      </c>
      <c r="U186" s="98">
        <f t="shared" si="44"/>
        <v>2435.792436118456</v>
      </c>
      <c r="V186" s="98">
        <f t="shared" si="44"/>
        <v>5400.1742861210732</v>
      </c>
      <c r="W186" s="98">
        <f t="shared" si="44"/>
        <v>0</v>
      </c>
      <c r="X186" s="98">
        <f t="shared" si="44"/>
        <v>0</v>
      </c>
      <c r="Y186" s="98">
        <f t="shared" si="44"/>
        <v>0</v>
      </c>
      <c r="Z186" s="98">
        <f t="shared" si="44"/>
        <v>0</v>
      </c>
      <c r="AA186" s="98">
        <f t="shared" si="44"/>
        <v>0</v>
      </c>
      <c r="AB186" s="98">
        <f t="shared" si="44"/>
        <v>0</v>
      </c>
      <c r="AC186" s="98">
        <f t="shared" si="44"/>
        <v>0</v>
      </c>
      <c r="AD186" s="98">
        <f t="shared" si="44"/>
        <v>0</v>
      </c>
      <c r="AE186" s="98">
        <f t="shared" si="44"/>
        <v>0</v>
      </c>
      <c r="AF186" s="98">
        <f t="shared" si="44"/>
        <v>0</v>
      </c>
      <c r="AG186" s="98">
        <f t="shared" si="44"/>
        <v>0</v>
      </c>
      <c r="AH186" s="98">
        <f t="shared" si="44"/>
        <v>0</v>
      </c>
      <c r="AI186" s="98">
        <f t="shared" si="44"/>
        <v>0</v>
      </c>
      <c r="AJ186" s="98">
        <f t="shared" si="44"/>
        <v>0</v>
      </c>
      <c r="AK186" s="98">
        <f t="shared" si="44"/>
        <v>0</v>
      </c>
      <c r="AL186" s="98">
        <f t="shared" si="44"/>
        <v>0</v>
      </c>
      <c r="AM186" s="98">
        <f t="shared" si="44"/>
        <v>0</v>
      </c>
      <c r="AN186" s="98">
        <f t="shared" si="44"/>
        <v>0</v>
      </c>
      <c r="AO186" s="98">
        <f t="shared" si="44"/>
        <v>0</v>
      </c>
    </row>
    <row r="187" spans="3:43" x14ac:dyDescent="0.35">
      <c r="E187" s="28"/>
      <c r="F187" t="s">
        <v>161</v>
      </c>
      <c r="G187" s="13" t="s">
        <v>790</v>
      </c>
      <c r="H187" s="102"/>
      <c r="J187" s="98">
        <f t="shared" ref="J187:AO187" si="45" xml:space="preserve"> IF( J$25 &lt;&gt; 0, J$27 * J69 * days_in_year / hundred / J$25, 0)</f>
        <v>0</v>
      </c>
      <c r="K187" s="98">
        <f t="shared" si="45"/>
        <v>0</v>
      </c>
      <c r="L187" s="98">
        <f t="shared" si="45"/>
        <v>0</v>
      </c>
      <c r="M187" s="98">
        <f t="shared" si="45"/>
        <v>0</v>
      </c>
      <c r="N187" s="98">
        <f t="shared" si="45"/>
        <v>0</v>
      </c>
      <c r="O187" s="98">
        <f t="shared" si="45"/>
        <v>0</v>
      </c>
      <c r="P187" s="98">
        <f t="shared" si="45"/>
        <v>0</v>
      </c>
      <c r="Q187" s="98">
        <f t="shared" si="45"/>
        <v>0</v>
      </c>
      <c r="R187" s="98">
        <f t="shared" si="45"/>
        <v>0</v>
      </c>
      <c r="S187" s="98">
        <f t="shared" si="45"/>
        <v>27.574713352453216</v>
      </c>
      <c r="T187" s="98">
        <f t="shared" si="45"/>
        <v>52.633274670049921</v>
      </c>
      <c r="U187" s="98">
        <f t="shared" si="45"/>
        <v>86.52110330037209</v>
      </c>
      <c r="V187" s="98">
        <f t="shared" si="45"/>
        <v>191.81808364346713</v>
      </c>
      <c r="W187" s="98">
        <f t="shared" si="45"/>
        <v>0</v>
      </c>
      <c r="X187" s="98">
        <f t="shared" si="45"/>
        <v>0</v>
      </c>
      <c r="Y187" s="98">
        <f t="shared" si="45"/>
        <v>0</v>
      </c>
      <c r="Z187" s="98">
        <f t="shared" si="45"/>
        <v>0</v>
      </c>
      <c r="AA187" s="98">
        <f t="shared" si="45"/>
        <v>0</v>
      </c>
      <c r="AB187" s="98">
        <f t="shared" si="45"/>
        <v>0</v>
      </c>
      <c r="AC187" s="98">
        <f t="shared" si="45"/>
        <v>0</v>
      </c>
      <c r="AD187" s="98">
        <f t="shared" si="45"/>
        <v>0</v>
      </c>
      <c r="AE187" s="98">
        <f t="shared" si="45"/>
        <v>0</v>
      </c>
      <c r="AF187" s="98">
        <f t="shared" si="45"/>
        <v>0</v>
      </c>
      <c r="AG187" s="98">
        <f t="shared" si="45"/>
        <v>0</v>
      </c>
      <c r="AH187" s="98">
        <f t="shared" si="45"/>
        <v>0</v>
      </c>
      <c r="AI187" s="98">
        <f t="shared" si="45"/>
        <v>0</v>
      </c>
      <c r="AJ187" s="98">
        <f t="shared" si="45"/>
        <v>0</v>
      </c>
      <c r="AK187" s="98">
        <f t="shared" si="45"/>
        <v>0</v>
      </c>
      <c r="AL187" s="98">
        <f t="shared" si="45"/>
        <v>0</v>
      </c>
      <c r="AM187" s="98">
        <f t="shared" si="45"/>
        <v>0</v>
      </c>
      <c r="AN187" s="98">
        <f t="shared" si="45"/>
        <v>0</v>
      </c>
      <c r="AO187" s="98">
        <f t="shared" si="45"/>
        <v>0</v>
      </c>
    </row>
    <row r="188" spans="3:43" x14ac:dyDescent="0.35">
      <c r="E188" s="28"/>
      <c r="F188" s="23" t="s">
        <v>162</v>
      </c>
      <c r="G188" s="85" t="s">
        <v>790</v>
      </c>
      <c r="H188" s="218"/>
      <c r="I188" s="23"/>
      <c r="J188" s="126">
        <f t="shared" ref="J188:AO188" si="46" xml:space="preserve"> IF( J$25 &lt;&gt; 0, J$28 * thousand * J70 / hundred / J$25, 0)</f>
        <v>0</v>
      </c>
      <c r="K188" s="126">
        <f t="shared" si="46"/>
        <v>0</v>
      </c>
      <c r="L188" s="126">
        <f t="shared" si="46"/>
        <v>0</v>
      </c>
      <c r="M188" s="126">
        <f t="shared" si="46"/>
        <v>0</v>
      </c>
      <c r="N188" s="126">
        <f t="shared" si="46"/>
        <v>0</v>
      </c>
      <c r="O188" s="126">
        <f t="shared" si="46"/>
        <v>0</v>
      </c>
      <c r="P188" s="126">
        <f t="shared" si="46"/>
        <v>0</v>
      </c>
      <c r="Q188" s="126">
        <f t="shared" si="46"/>
        <v>0</v>
      </c>
      <c r="R188" s="126">
        <f t="shared" si="46"/>
        <v>0</v>
      </c>
      <c r="S188" s="126">
        <f t="shared" si="46"/>
        <v>21.134567473009799</v>
      </c>
      <c r="T188" s="126">
        <f t="shared" si="46"/>
        <v>40.340636750106547</v>
      </c>
      <c r="U188" s="126">
        <f t="shared" si="46"/>
        <v>66.313875040818232</v>
      </c>
      <c r="V188" s="126">
        <f t="shared" si="46"/>
        <v>147.01847230428695</v>
      </c>
      <c r="W188" s="126">
        <f t="shared" si="46"/>
        <v>0</v>
      </c>
      <c r="X188" s="126">
        <f t="shared" si="46"/>
        <v>0</v>
      </c>
      <c r="Y188" s="126">
        <f t="shared" si="46"/>
        <v>0</v>
      </c>
      <c r="Z188" s="126">
        <f t="shared" si="46"/>
        <v>0</v>
      </c>
      <c r="AA188" s="126">
        <f t="shared" si="46"/>
        <v>0</v>
      </c>
      <c r="AB188" s="126">
        <f t="shared" si="46"/>
        <v>0</v>
      </c>
      <c r="AC188" s="126">
        <f t="shared" si="46"/>
        <v>0</v>
      </c>
      <c r="AD188" s="126">
        <f t="shared" si="46"/>
        <v>0</v>
      </c>
      <c r="AE188" s="126">
        <f t="shared" si="46"/>
        <v>0</v>
      </c>
      <c r="AF188" s="126">
        <f t="shared" si="46"/>
        <v>0</v>
      </c>
      <c r="AG188" s="126">
        <f t="shared" si="46"/>
        <v>0</v>
      </c>
      <c r="AH188" s="126">
        <f t="shared" si="46"/>
        <v>0</v>
      </c>
      <c r="AI188" s="126">
        <f t="shared" si="46"/>
        <v>0</v>
      </c>
      <c r="AJ188" s="126">
        <f t="shared" si="46"/>
        <v>42.4859961420646</v>
      </c>
      <c r="AK188" s="126">
        <f t="shared" si="46"/>
        <v>0</v>
      </c>
      <c r="AL188" s="126">
        <f t="shared" si="46"/>
        <v>0</v>
      </c>
      <c r="AM188" s="126">
        <f t="shared" si="46"/>
        <v>0</v>
      </c>
      <c r="AN188" s="126">
        <f t="shared" si="46"/>
        <v>0</v>
      </c>
      <c r="AO188" s="126">
        <f t="shared" si="46"/>
        <v>0</v>
      </c>
    </row>
    <row r="189" spans="3:43" x14ac:dyDescent="0.35">
      <c r="E189" s="28"/>
      <c r="F189" s="108" t="s">
        <v>100</v>
      </c>
      <c r="G189" s="214" t="s">
        <v>790</v>
      </c>
      <c r="H189" s="219"/>
      <c r="I189" s="108"/>
      <c r="J189" s="153">
        <f t="shared" ref="J189" si="47">SUM(J182:J188)</f>
        <v>138.66157919513941</v>
      </c>
      <c r="K189" s="153">
        <f t="shared" ref="K189:AO189" si="48">SUM(K182:K188)</f>
        <v>47.108973079865429</v>
      </c>
      <c r="L189" s="153">
        <f t="shared" si="48"/>
        <v>0</v>
      </c>
      <c r="M189" s="153">
        <f t="shared" si="48"/>
        <v>54.671032247553704</v>
      </c>
      <c r="N189" s="153">
        <f t="shared" si="48"/>
        <v>191.86154723000152</v>
      </c>
      <c r="O189" s="153">
        <f t="shared" si="48"/>
        <v>434.16905124090647</v>
      </c>
      <c r="P189" s="153">
        <f t="shared" si="48"/>
        <v>1359.6980400676014</v>
      </c>
      <c r="Q189" s="153">
        <f t="shared" si="48"/>
        <v>97.366944407660085</v>
      </c>
      <c r="R189" s="153">
        <f t="shared" si="48"/>
        <v>0</v>
      </c>
      <c r="S189" s="153">
        <f t="shared" si="48"/>
        <v>2520.4471247328129</v>
      </c>
      <c r="T189" s="153">
        <f t="shared" si="48"/>
        <v>4732.2058996451624</v>
      </c>
      <c r="U189" s="153">
        <f t="shared" si="48"/>
        <v>7758.8977402098135</v>
      </c>
      <c r="V189" s="153">
        <f t="shared" si="48"/>
        <v>17337.82677905737</v>
      </c>
      <c r="W189" s="153">
        <f t="shared" si="48"/>
        <v>0</v>
      </c>
      <c r="X189" s="153">
        <f t="shared" si="48"/>
        <v>0</v>
      </c>
      <c r="Y189" s="153">
        <f t="shared" si="48"/>
        <v>0</v>
      </c>
      <c r="Z189" s="153">
        <f t="shared" si="48"/>
        <v>0</v>
      </c>
      <c r="AA189" s="153">
        <f t="shared" si="48"/>
        <v>0</v>
      </c>
      <c r="AB189" s="153">
        <f t="shared" si="48"/>
        <v>0</v>
      </c>
      <c r="AC189" s="153">
        <f t="shared" si="48"/>
        <v>0</v>
      </c>
      <c r="AD189" s="153">
        <f t="shared" si="48"/>
        <v>0</v>
      </c>
      <c r="AE189" s="153">
        <f t="shared" si="48"/>
        <v>0</v>
      </c>
      <c r="AF189" s="153">
        <f t="shared" si="48"/>
        <v>0</v>
      </c>
      <c r="AG189" s="153">
        <f t="shared" si="48"/>
        <v>1822.0746044815614</v>
      </c>
      <c r="AH189" s="153">
        <f t="shared" si="48"/>
        <v>-275.17205218095773</v>
      </c>
      <c r="AI189" s="153">
        <f t="shared" si="48"/>
        <v>0</v>
      </c>
      <c r="AJ189" s="153">
        <f t="shared" si="48"/>
        <v>-7272.5802796544276</v>
      </c>
      <c r="AK189" s="153">
        <f t="shared" si="48"/>
        <v>0</v>
      </c>
      <c r="AL189" s="153">
        <f t="shared" si="48"/>
        <v>0</v>
      </c>
      <c r="AM189" s="153">
        <f t="shared" si="48"/>
        <v>0</v>
      </c>
      <c r="AN189" s="153">
        <f t="shared" si="48"/>
        <v>0</v>
      </c>
      <c r="AO189" s="153">
        <f t="shared" si="48"/>
        <v>0</v>
      </c>
    </row>
    <row r="190" spans="3:43" x14ac:dyDescent="0.35">
      <c r="D190" s="28"/>
      <c r="G190" s="13"/>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row>
    <row r="191" spans="3:43" x14ac:dyDescent="0.35">
      <c r="E191" s="32" t="s">
        <v>791</v>
      </c>
      <c r="G191" s="13"/>
      <c r="H191" s="12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row>
    <row r="192" spans="3:43" x14ac:dyDescent="0.35">
      <c r="E192" s="29" t="s">
        <v>792</v>
      </c>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row>
    <row r="193" spans="3:43" x14ac:dyDescent="0.35">
      <c r="C193" s="88"/>
      <c r="F193" s="23" t="s">
        <v>156</v>
      </c>
      <c r="G193" s="85" t="s">
        <v>790</v>
      </c>
      <c r="H193" s="218"/>
      <c r="I193" s="23"/>
      <c r="J193" s="126">
        <f t="shared" ref="J193:AO193" si="49" xml:space="preserve"> IF( J$25 &lt;&gt; 0, J$22 * thousand * J73 / hundred / J$25,0)</f>
        <v>18.674208746419286</v>
      </c>
      <c r="K193" s="126">
        <f t="shared" si="49"/>
        <v>5.31536589592978</v>
      </c>
      <c r="L193" s="126">
        <f t="shared" si="49"/>
        <v>0</v>
      </c>
      <c r="M193" s="126">
        <f t="shared" si="49"/>
        <v>5.709300245755716</v>
      </c>
      <c r="N193" s="126">
        <f t="shared" si="49"/>
        <v>33.78466271815897</v>
      </c>
      <c r="O193" s="126">
        <f t="shared" si="49"/>
        <v>83.368505036772888</v>
      </c>
      <c r="P193" s="126">
        <f t="shared" si="49"/>
        <v>272.78263863521028</v>
      </c>
      <c r="Q193" s="126">
        <f t="shared" si="49"/>
        <v>8.7698913665054707</v>
      </c>
      <c r="R193" s="126">
        <f t="shared" si="49"/>
        <v>0</v>
      </c>
      <c r="S193" s="126">
        <f t="shared" si="49"/>
        <v>300.32869023977315</v>
      </c>
      <c r="T193" s="126">
        <f t="shared" si="49"/>
        <v>573.25282923675479</v>
      </c>
      <c r="U193" s="126">
        <f t="shared" si="49"/>
        <v>942.3405168412786</v>
      </c>
      <c r="V193" s="126">
        <f t="shared" si="49"/>
        <v>2089.1776131489887</v>
      </c>
      <c r="W193" s="126">
        <f t="shared" si="49"/>
        <v>0</v>
      </c>
      <c r="X193" s="126">
        <f t="shared" si="49"/>
        <v>1637.4904896029982</v>
      </c>
      <c r="Y193" s="126">
        <f t="shared" si="49"/>
        <v>753.27729906194395</v>
      </c>
      <c r="Z193" s="126">
        <f t="shared" si="49"/>
        <v>1115.8419672860016</v>
      </c>
      <c r="AA193" s="126">
        <f t="shared" si="49"/>
        <v>3217.7931582743745</v>
      </c>
      <c r="AB193" s="126">
        <f t="shared" si="49"/>
        <v>0</v>
      </c>
      <c r="AC193" s="126">
        <f t="shared" si="49"/>
        <v>309.28074995144055</v>
      </c>
      <c r="AD193" s="126">
        <f t="shared" si="49"/>
        <v>2406.768439522109</v>
      </c>
      <c r="AE193" s="126">
        <f t="shared" si="49"/>
        <v>5176.7606178779433</v>
      </c>
      <c r="AF193" s="126">
        <f t="shared" si="49"/>
        <v>11368.666343148579</v>
      </c>
      <c r="AG193" s="126">
        <f t="shared" si="49"/>
        <v>259.80924485948793</v>
      </c>
      <c r="AH193" s="126">
        <f t="shared" si="49"/>
        <v>-116.92507504715581</v>
      </c>
      <c r="AI193" s="126">
        <f t="shared" si="49"/>
        <v>-12.06537</v>
      </c>
      <c r="AJ193" s="126">
        <f t="shared" si="49"/>
        <v>-3083.7065609031752</v>
      </c>
      <c r="AK193" s="126">
        <f t="shared" si="49"/>
        <v>0</v>
      </c>
      <c r="AL193" s="126">
        <f t="shared" si="49"/>
        <v>-9825.1422531774188</v>
      </c>
      <c r="AM193" s="126">
        <f t="shared" si="49"/>
        <v>0</v>
      </c>
      <c r="AN193" s="126">
        <f t="shared" si="49"/>
        <v>-16237.917137085442</v>
      </c>
      <c r="AO193" s="126">
        <f t="shared" si="49"/>
        <v>0</v>
      </c>
    </row>
    <row r="194" spans="3:43" x14ac:dyDescent="0.35">
      <c r="C194" s="88"/>
      <c r="F194" t="s">
        <v>157</v>
      </c>
      <c r="G194" s="13" t="s">
        <v>790</v>
      </c>
      <c r="H194" s="102"/>
      <c r="J194" s="98">
        <f t="shared" ref="J194:AO194" si="50" xml:space="preserve"> IF( J$25 &lt;&gt; 0, J$23 * thousand * J74 / hundred / J$25, 0)</f>
        <v>14.878516323123341</v>
      </c>
      <c r="K194" s="98">
        <f t="shared" si="50"/>
        <v>17.202054213441549</v>
      </c>
      <c r="L194" s="98">
        <f t="shared" si="50"/>
        <v>0</v>
      </c>
      <c r="M194" s="98">
        <f t="shared" si="50"/>
        <v>6.1801644904876074</v>
      </c>
      <c r="N194" s="98">
        <f t="shared" si="50"/>
        <v>36.570991867012815</v>
      </c>
      <c r="O194" s="98">
        <f t="shared" si="50"/>
        <v>90.244172188408356</v>
      </c>
      <c r="P194" s="98">
        <f t="shared" si="50"/>
        <v>295.2798949692812</v>
      </c>
      <c r="Q194" s="98">
        <f t="shared" si="50"/>
        <v>35.727146164026315</v>
      </c>
      <c r="R194" s="98">
        <f t="shared" si="50"/>
        <v>0</v>
      </c>
      <c r="S194" s="98">
        <f t="shared" si="50"/>
        <v>304.04808556691796</v>
      </c>
      <c r="T194" s="98">
        <f t="shared" si="50"/>
        <v>580.35223053815366</v>
      </c>
      <c r="U194" s="98">
        <f t="shared" si="50"/>
        <v>954.01085347185619</v>
      </c>
      <c r="V194" s="98">
        <f t="shared" si="50"/>
        <v>2115.0508570462598</v>
      </c>
      <c r="W194" s="98">
        <f t="shared" si="50"/>
        <v>0</v>
      </c>
      <c r="X194" s="98">
        <f t="shared" si="50"/>
        <v>1398.0896715778265</v>
      </c>
      <c r="Y194" s="98">
        <f t="shared" si="50"/>
        <v>643.14829205992896</v>
      </c>
      <c r="Z194" s="98">
        <f t="shared" si="50"/>
        <v>952.70607034418106</v>
      </c>
      <c r="AA194" s="98">
        <f t="shared" si="50"/>
        <v>2747.352371461956</v>
      </c>
      <c r="AB194" s="98">
        <f t="shared" si="50"/>
        <v>0</v>
      </c>
      <c r="AC194" s="98">
        <f t="shared" si="50"/>
        <v>264.66165576420974</v>
      </c>
      <c r="AD194" s="98">
        <f t="shared" si="50"/>
        <v>2059.5504904361978</v>
      </c>
      <c r="AE194" s="98">
        <f t="shared" si="50"/>
        <v>4429.9234169525398</v>
      </c>
      <c r="AF194" s="98">
        <f t="shared" si="50"/>
        <v>9728.5397124811607</v>
      </c>
      <c r="AG194" s="98">
        <f t="shared" si="50"/>
        <v>353.98616397979367</v>
      </c>
      <c r="AH194" s="98">
        <f t="shared" si="50"/>
        <v>-130.77774274211555</v>
      </c>
      <c r="AI194" s="98">
        <f t="shared" si="50"/>
        <v>-17.331859999999999</v>
      </c>
      <c r="AJ194" s="98">
        <f t="shared" si="50"/>
        <v>-3067.3539850425104</v>
      </c>
      <c r="AK194" s="98">
        <f t="shared" si="50"/>
        <v>0</v>
      </c>
      <c r="AL194" s="98">
        <f t="shared" si="50"/>
        <v>-9270.0879038936728</v>
      </c>
      <c r="AM194" s="98">
        <f t="shared" si="50"/>
        <v>0</v>
      </c>
      <c r="AN194" s="98">
        <f t="shared" si="50"/>
        <v>-12574.518643313349</v>
      </c>
      <c r="AO194" s="98">
        <f t="shared" si="50"/>
        <v>0</v>
      </c>
    </row>
    <row r="195" spans="3:43" x14ac:dyDescent="0.35">
      <c r="C195" s="88"/>
      <c r="F195" t="s">
        <v>158</v>
      </c>
      <c r="G195" s="13" t="s">
        <v>790</v>
      </c>
      <c r="H195" s="102"/>
      <c r="J195" s="98">
        <f t="shared" ref="J195:AO195" si="51" xml:space="preserve"> IF( J$25 &lt;&gt; 0, J$24 * thousand * J75 / hundred / J$25, 0)</f>
        <v>4.241875892115079</v>
      </c>
      <c r="K195" s="98">
        <f t="shared" si="51"/>
        <v>8.6437191242810769</v>
      </c>
      <c r="L195" s="98">
        <f t="shared" si="51"/>
        <v>0</v>
      </c>
      <c r="M195" s="98">
        <f t="shared" si="51"/>
        <v>1.4416512085692983</v>
      </c>
      <c r="N195" s="98">
        <f t="shared" si="51"/>
        <v>8.5309403503428829</v>
      </c>
      <c r="O195" s="98">
        <f t="shared" si="51"/>
        <v>21.051319928782348</v>
      </c>
      <c r="P195" s="98">
        <f t="shared" si="51"/>
        <v>68.880143579332668</v>
      </c>
      <c r="Q195" s="98">
        <f t="shared" si="51"/>
        <v>19.938432596635764</v>
      </c>
      <c r="R195" s="98">
        <f t="shared" si="51"/>
        <v>0</v>
      </c>
      <c r="S195" s="98">
        <f t="shared" si="51"/>
        <v>85.082745136974324</v>
      </c>
      <c r="T195" s="98">
        <f t="shared" si="51"/>
        <v>162.4018149250432</v>
      </c>
      <c r="U195" s="98">
        <f t="shared" si="51"/>
        <v>266.96389866262984</v>
      </c>
      <c r="V195" s="98">
        <f t="shared" si="51"/>
        <v>591.86142443972051</v>
      </c>
      <c r="W195" s="98">
        <f t="shared" si="51"/>
        <v>0</v>
      </c>
      <c r="X195" s="98">
        <f t="shared" si="51"/>
        <v>495.50132676258534</v>
      </c>
      <c r="Y195" s="98">
        <f t="shared" si="51"/>
        <v>227.94019475241208</v>
      </c>
      <c r="Z195" s="98">
        <f t="shared" si="51"/>
        <v>337.65153370853193</v>
      </c>
      <c r="AA195" s="98">
        <f t="shared" si="51"/>
        <v>973.69773399971439</v>
      </c>
      <c r="AB195" s="98">
        <f t="shared" si="51"/>
        <v>0</v>
      </c>
      <c r="AC195" s="98">
        <f t="shared" si="51"/>
        <v>95.309328521459207</v>
      </c>
      <c r="AD195" s="98">
        <f t="shared" si="51"/>
        <v>741.68044378289949</v>
      </c>
      <c r="AE195" s="98">
        <f t="shared" si="51"/>
        <v>1595.2935269451707</v>
      </c>
      <c r="AF195" s="98">
        <f t="shared" si="51"/>
        <v>3503.4186754918578</v>
      </c>
      <c r="AG195" s="98">
        <f t="shared" si="51"/>
        <v>592.14147216967353</v>
      </c>
      <c r="AH195" s="98">
        <f t="shared" si="51"/>
        <v>-27.469234391686349</v>
      </c>
      <c r="AI195" s="98">
        <f t="shared" si="51"/>
        <v>-2.8014000000000006</v>
      </c>
      <c r="AJ195" s="98">
        <f t="shared" si="51"/>
        <v>-1164.0057298508061</v>
      </c>
      <c r="AK195" s="98">
        <f t="shared" si="51"/>
        <v>0</v>
      </c>
      <c r="AL195" s="98">
        <f t="shared" si="51"/>
        <v>-3416.5696470967737</v>
      </c>
      <c r="AM195" s="98">
        <f t="shared" si="51"/>
        <v>0</v>
      </c>
      <c r="AN195" s="98">
        <f t="shared" si="51"/>
        <v>-4801.3414861463398</v>
      </c>
      <c r="AO195" s="98">
        <f t="shared" si="51"/>
        <v>0</v>
      </c>
    </row>
    <row r="196" spans="3:43" x14ac:dyDescent="0.35">
      <c r="C196" s="88"/>
      <c r="F196" s="23" t="s">
        <v>159</v>
      </c>
      <c r="G196" s="85" t="s">
        <v>790</v>
      </c>
      <c r="H196" s="218"/>
      <c r="I196" s="23"/>
      <c r="J196" s="126">
        <f t="shared" ref="J196:AO196" si="52" xml:space="preserve"> IF( J$25 &lt;&gt; 0, J$25 * J76 * days_in_year / hundred / J$25, 0)</f>
        <v>66.210999999999999</v>
      </c>
      <c r="K196" s="126">
        <f t="shared" si="52"/>
        <v>0</v>
      </c>
      <c r="L196" s="126">
        <f t="shared" si="52"/>
        <v>0</v>
      </c>
      <c r="M196" s="126">
        <f t="shared" si="52"/>
        <v>22.922000000000001</v>
      </c>
      <c r="N196" s="126">
        <f t="shared" si="52"/>
        <v>48.179999999999993</v>
      </c>
      <c r="O196" s="126">
        <f t="shared" si="52"/>
        <v>92.746499999999997</v>
      </c>
      <c r="P196" s="126">
        <f t="shared" si="52"/>
        <v>263.01900000000001</v>
      </c>
      <c r="Q196" s="126">
        <f t="shared" si="52"/>
        <v>0</v>
      </c>
      <c r="R196" s="126">
        <f t="shared" si="52"/>
        <v>0</v>
      </c>
      <c r="S196" s="126">
        <f t="shared" si="52"/>
        <v>432.30599999999998</v>
      </c>
      <c r="T196" s="126">
        <f t="shared" si="52"/>
        <v>773.03349999999989</v>
      </c>
      <c r="U196" s="126">
        <f t="shared" si="52"/>
        <v>1257.3885</v>
      </c>
      <c r="V196" s="126">
        <f t="shared" si="52"/>
        <v>2877.7695000000003</v>
      </c>
      <c r="W196" s="126">
        <f t="shared" si="52"/>
        <v>0</v>
      </c>
      <c r="X196" s="126">
        <f t="shared" si="52"/>
        <v>714.30499999999995</v>
      </c>
      <c r="Y196" s="126">
        <f t="shared" si="52"/>
        <v>1206.1789999999999</v>
      </c>
      <c r="Z196" s="126">
        <f t="shared" si="52"/>
        <v>1905.4460000000001</v>
      </c>
      <c r="AA196" s="126">
        <f t="shared" si="52"/>
        <v>4244.6945000000005</v>
      </c>
      <c r="AB196" s="126">
        <f t="shared" si="52"/>
        <v>0</v>
      </c>
      <c r="AC196" s="126">
        <f t="shared" si="52"/>
        <v>1996.623</v>
      </c>
      <c r="AD196" s="126">
        <f t="shared" si="52"/>
        <v>9656.0384999999987</v>
      </c>
      <c r="AE196" s="126">
        <f t="shared" si="52"/>
        <v>19771.246999999999</v>
      </c>
      <c r="AF196" s="126">
        <f t="shared" si="52"/>
        <v>42382.266999999993</v>
      </c>
      <c r="AG196" s="126">
        <f t="shared" si="52"/>
        <v>0</v>
      </c>
      <c r="AH196" s="126">
        <f t="shared" si="52"/>
        <v>0</v>
      </c>
      <c r="AI196" s="126">
        <f t="shared" si="52"/>
        <v>0</v>
      </c>
      <c r="AJ196" s="126">
        <f t="shared" si="52"/>
        <v>0</v>
      </c>
      <c r="AK196" s="126">
        <f t="shared" si="52"/>
        <v>0</v>
      </c>
      <c r="AL196" s="126">
        <f t="shared" si="52"/>
        <v>0</v>
      </c>
      <c r="AM196" s="126">
        <f t="shared" si="52"/>
        <v>0</v>
      </c>
      <c r="AN196" s="126">
        <f t="shared" si="52"/>
        <v>0</v>
      </c>
      <c r="AO196" s="126">
        <f t="shared" si="52"/>
        <v>0</v>
      </c>
    </row>
    <row r="197" spans="3:43" x14ac:dyDescent="0.35">
      <c r="C197" s="88"/>
      <c r="F197" t="s">
        <v>160</v>
      </c>
      <c r="G197" s="13" t="s">
        <v>790</v>
      </c>
      <c r="H197" s="102"/>
      <c r="J197" s="98">
        <f t="shared" ref="J197:AO197" si="53" xml:space="preserve"> IF( J$25 &lt;&gt; 0, J$26 * J77 * days_in_year / hundred / J$25, 0)</f>
        <v>0</v>
      </c>
      <c r="K197" s="98">
        <f t="shared" si="53"/>
        <v>0</v>
      </c>
      <c r="L197" s="98">
        <f t="shared" si="53"/>
        <v>0</v>
      </c>
      <c r="M197" s="98">
        <f t="shared" si="53"/>
        <v>0</v>
      </c>
      <c r="N197" s="98">
        <f t="shared" si="53"/>
        <v>0</v>
      </c>
      <c r="O197" s="98">
        <f t="shared" si="53"/>
        <v>0</v>
      </c>
      <c r="P197" s="98">
        <f t="shared" si="53"/>
        <v>0</v>
      </c>
      <c r="Q197" s="98">
        <f t="shared" si="53"/>
        <v>0</v>
      </c>
      <c r="R197" s="98">
        <f t="shared" si="53"/>
        <v>0</v>
      </c>
      <c r="S197" s="98">
        <f t="shared" si="53"/>
        <v>514.17231174735139</v>
      </c>
      <c r="T197" s="98">
        <f t="shared" si="53"/>
        <v>981.42715632346665</v>
      </c>
      <c r="U197" s="98">
        <f t="shared" si="53"/>
        <v>1613.3170680784576</v>
      </c>
      <c r="V197" s="98">
        <f t="shared" si="53"/>
        <v>3576.7388128853859</v>
      </c>
      <c r="W197" s="98">
        <f t="shared" si="53"/>
        <v>0</v>
      </c>
      <c r="X197" s="98">
        <f t="shared" si="53"/>
        <v>5311.5671086151669</v>
      </c>
      <c r="Y197" s="98">
        <f t="shared" si="53"/>
        <v>2443.4236111709793</v>
      </c>
      <c r="Z197" s="98">
        <f t="shared" si="53"/>
        <v>3619.4833066088281</v>
      </c>
      <c r="AA197" s="98">
        <f t="shared" si="53"/>
        <v>10437.632713189585</v>
      </c>
      <c r="AB197" s="98">
        <f t="shared" si="53"/>
        <v>0</v>
      </c>
      <c r="AC197" s="98">
        <f t="shared" si="53"/>
        <v>2663.8906299391224</v>
      </c>
      <c r="AD197" s="98">
        <f t="shared" si="53"/>
        <v>20729.928699030836</v>
      </c>
      <c r="AE197" s="98">
        <f t="shared" si="53"/>
        <v>44588.368676576531</v>
      </c>
      <c r="AF197" s="98">
        <f t="shared" si="53"/>
        <v>97920.364429964451</v>
      </c>
      <c r="AG197" s="98">
        <f t="shared" si="53"/>
        <v>0</v>
      </c>
      <c r="AH197" s="98">
        <f t="shared" si="53"/>
        <v>0</v>
      </c>
      <c r="AI197" s="98">
        <f t="shared" si="53"/>
        <v>0</v>
      </c>
      <c r="AJ197" s="98">
        <f t="shared" si="53"/>
        <v>0</v>
      </c>
      <c r="AK197" s="98">
        <f t="shared" si="53"/>
        <v>0</v>
      </c>
      <c r="AL197" s="98">
        <f t="shared" si="53"/>
        <v>0</v>
      </c>
      <c r="AM197" s="98">
        <f t="shared" si="53"/>
        <v>0</v>
      </c>
      <c r="AN197" s="98">
        <f t="shared" si="53"/>
        <v>0</v>
      </c>
      <c r="AO197" s="98">
        <f t="shared" si="53"/>
        <v>0</v>
      </c>
    </row>
    <row r="198" spans="3:43" x14ac:dyDescent="0.35">
      <c r="C198" s="88"/>
      <c r="F198" t="s">
        <v>161</v>
      </c>
      <c r="G198" s="13" t="s">
        <v>790</v>
      </c>
      <c r="H198" s="102"/>
      <c r="J198" s="98">
        <f t="shared" ref="J198:AO198" si="54" xml:space="preserve"> IF( J$25 &lt;&gt; 0, J$27 * J78 * days_in_year / hundred / J$25, 0)</f>
        <v>0</v>
      </c>
      <c r="K198" s="98">
        <f t="shared" si="54"/>
        <v>0</v>
      </c>
      <c r="L198" s="98">
        <f t="shared" si="54"/>
        <v>0</v>
      </c>
      <c r="M198" s="98">
        <f t="shared" si="54"/>
        <v>0</v>
      </c>
      <c r="N198" s="98">
        <f t="shared" si="54"/>
        <v>0</v>
      </c>
      <c r="O198" s="98">
        <f t="shared" si="54"/>
        <v>0</v>
      </c>
      <c r="P198" s="98">
        <f t="shared" si="54"/>
        <v>0</v>
      </c>
      <c r="Q198" s="98">
        <f t="shared" si="54"/>
        <v>0</v>
      </c>
      <c r="R198" s="98">
        <f t="shared" si="54"/>
        <v>0</v>
      </c>
      <c r="S198" s="98">
        <f t="shared" si="54"/>
        <v>18.232908531711264</v>
      </c>
      <c r="T198" s="98">
        <f t="shared" si="54"/>
        <v>34.80209097796763</v>
      </c>
      <c r="U198" s="98">
        <f t="shared" si="54"/>
        <v>57.209347650320311</v>
      </c>
      <c r="V198" s="98">
        <f t="shared" si="54"/>
        <v>126.8336511461261</v>
      </c>
      <c r="W198" s="98">
        <f t="shared" si="54"/>
        <v>0</v>
      </c>
      <c r="X198" s="98">
        <f t="shared" si="54"/>
        <v>217.47423030404099</v>
      </c>
      <c r="Y198" s="98">
        <f t="shared" si="54"/>
        <v>100.04235252610241</v>
      </c>
      <c r="Z198" s="98">
        <f t="shared" si="54"/>
        <v>148.19437090917305</v>
      </c>
      <c r="AA198" s="98">
        <f t="shared" si="54"/>
        <v>427.3533768999103</v>
      </c>
      <c r="AB198" s="98">
        <f t="shared" si="54"/>
        <v>0</v>
      </c>
      <c r="AC198" s="98">
        <f t="shared" si="54"/>
        <v>81.563727660357102</v>
      </c>
      <c r="AD198" s="98">
        <f t="shared" si="54"/>
        <v>634.71459369374031</v>
      </c>
      <c r="AE198" s="98">
        <f t="shared" si="54"/>
        <v>1365.2187964034388</v>
      </c>
      <c r="AF198" s="98">
        <f t="shared" si="54"/>
        <v>2998.152344171524</v>
      </c>
      <c r="AG198" s="98">
        <f t="shared" si="54"/>
        <v>0</v>
      </c>
      <c r="AH198" s="98">
        <f t="shared" si="54"/>
        <v>0</v>
      </c>
      <c r="AI198" s="98">
        <f t="shared" si="54"/>
        <v>0</v>
      </c>
      <c r="AJ198" s="98">
        <f t="shared" si="54"/>
        <v>0</v>
      </c>
      <c r="AK198" s="98">
        <f t="shared" si="54"/>
        <v>0</v>
      </c>
      <c r="AL198" s="98">
        <f t="shared" si="54"/>
        <v>0</v>
      </c>
      <c r="AM198" s="98">
        <f t="shared" si="54"/>
        <v>0</v>
      </c>
      <c r="AN198" s="98">
        <f t="shared" si="54"/>
        <v>0</v>
      </c>
      <c r="AO198" s="98">
        <f t="shared" si="54"/>
        <v>0</v>
      </c>
    </row>
    <row r="199" spans="3:43" x14ac:dyDescent="0.35">
      <c r="C199" s="88"/>
      <c r="F199" s="23" t="s">
        <v>162</v>
      </c>
      <c r="G199" s="85" t="s">
        <v>790</v>
      </c>
      <c r="H199" s="218"/>
      <c r="I199" s="23"/>
      <c r="J199" s="126">
        <f t="shared" ref="J199:AO199" si="55" xml:space="preserve"> IF( J$25 &lt;&gt; 0, J$28 * thousand * J79 / hundred / J$25, 0)</f>
        <v>0</v>
      </c>
      <c r="K199" s="126">
        <f t="shared" si="55"/>
        <v>0</v>
      </c>
      <c r="L199" s="126">
        <f t="shared" si="55"/>
        <v>0</v>
      </c>
      <c r="M199" s="126">
        <f t="shared" si="55"/>
        <v>0</v>
      </c>
      <c r="N199" s="126">
        <f t="shared" si="55"/>
        <v>0</v>
      </c>
      <c r="O199" s="126">
        <f t="shared" si="55"/>
        <v>0</v>
      </c>
      <c r="P199" s="126">
        <f t="shared" si="55"/>
        <v>0</v>
      </c>
      <c r="Q199" s="126">
        <f t="shared" si="55"/>
        <v>0</v>
      </c>
      <c r="R199" s="126">
        <f t="shared" si="55"/>
        <v>0</v>
      </c>
      <c r="S199" s="126">
        <f t="shared" si="55"/>
        <v>14.020981347947965</v>
      </c>
      <c r="T199" s="126">
        <f t="shared" si="55"/>
        <v>26.762568770802392</v>
      </c>
      <c r="U199" s="126">
        <f t="shared" si="55"/>
        <v>43.993595149030646</v>
      </c>
      <c r="V199" s="126">
        <f t="shared" si="55"/>
        <v>97.53420601650258</v>
      </c>
      <c r="W199" s="126">
        <f t="shared" si="55"/>
        <v>0</v>
      </c>
      <c r="X199" s="126">
        <f t="shared" si="55"/>
        <v>47.482578266926865</v>
      </c>
      <c r="Y199" s="126">
        <f t="shared" si="55"/>
        <v>21.84290445441286</v>
      </c>
      <c r="Z199" s="126">
        <f t="shared" si="55"/>
        <v>32.35625115479278</v>
      </c>
      <c r="AA199" s="126">
        <f t="shared" si="55"/>
        <v>93.306871981642928</v>
      </c>
      <c r="AB199" s="126">
        <f t="shared" si="55"/>
        <v>0</v>
      </c>
      <c r="AC199" s="126">
        <f t="shared" si="55"/>
        <v>20.149761275306737</v>
      </c>
      <c r="AD199" s="126">
        <f t="shared" si="55"/>
        <v>156.80190089078363</v>
      </c>
      <c r="AE199" s="126">
        <f t="shared" si="55"/>
        <v>337.26796978482332</v>
      </c>
      <c r="AF199" s="126">
        <f t="shared" si="55"/>
        <v>740.67303855485659</v>
      </c>
      <c r="AG199" s="126">
        <f t="shared" si="55"/>
        <v>0</v>
      </c>
      <c r="AH199" s="126">
        <f t="shared" si="55"/>
        <v>0</v>
      </c>
      <c r="AI199" s="126">
        <f t="shared" si="55"/>
        <v>0</v>
      </c>
      <c r="AJ199" s="126">
        <f t="shared" si="55"/>
        <v>42.4859961420646</v>
      </c>
      <c r="AK199" s="126">
        <f t="shared" si="55"/>
        <v>0</v>
      </c>
      <c r="AL199" s="126">
        <f t="shared" si="55"/>
        <v>0</v>
      </c>
      <c r="AM199" s="126">
        <f t="shared" si="55"/>
        <v>0</v>
      </c>
      <c r="AN199" s="126">
        <f t="shared" si="55"/>
        <v>223.93367483725189</v>
      </c>
      <c r="AO199" s="126">
        <f t="shared" si="55"/>
        <v>0</v>
      </c>
    </row>
    <row r="200" spans="3:43" x14ac:dyDescent="0.35">
      <c r="C200" s="88"/>
      <c r="F200" s="108" t="s">
        <v>100</v>
      </c>
      <c r="G200" s="214" t="s">
        <v>790</v>
      </c>
      <c r="H200" s="219"/>
      <c r="I200" s="108"/>
      <c r="J200" s="153">
        <f t="shared" ref="J200" si="56">SUM(J193:J199)</f>
        <v>104.00560096165771</v>
      </c>
      <c r="K200" s="153">
        <f t="shared" ref="K200:AO200" si="57">SUM(K193:K199)</f>
        <v>31.161139233652406</v>
      </c>
      <c r="L200" s="153">
        <f t="shared" si="57"/>
        <v>0</v>
      </c>
      <c r="M200" s="153">
        <f t="shared" si="57"/>
        <v>36.25311594481262</v>
      </c>
      <c r="N200" s="153">
        <f t="shared" si="57"/>
        <v>127.06659493551466</v>
      </c>
      <c r="O200" s="153">
        <f t="shared" si="57"/>
        <v>287.41049715396355</v>
      </c>
      <c r="P200" s="153">
        <f t="shared" si="57"/>
        <v>899.96167718382412</v>
      </c>
      <c r="Q200" s="153">
        <f t="shared" si="57"/>
        <v>64.435470127167548</v>
      </c>
      <c r="R200" s="153">
        <f t="shared" si="57"/>
        <v>0</v>
      </c>
      <c r="S200" s="153">
        <f t="shared" si="57"/>
        <v>1668.1917225706761</v>
      </c>
      <c r="T200" s="153">
        <f t="shared" si="57"/>
        <v>3132.0321907721882</v>
      </c>
      <c r="U200" s="153">
        <f t="shared" si="57"/>
        <v>5135.2237798535734</v>
      </c>
      <c r="V200" s="153">
        <f t="shared" si="57"/>
        <v>11474.966064682983</v>
      </c>
      <c r="W200" s="153">
        <f t="shared" si="57"/>
        <v>0</v>
      </c>
      <c r="X200" s="153">
        <f t="shared" si="57"/>
        <v>9821.9104051295453</v>
      </c>
      <c r="Y200" s="153">
        <f t="shared" si="57"/>
        <v>5395.8536540257792</v>
      </c>
      <c r="Z200" s="153">
        <f t="shared" si="57"/>
        <v>8111.6795000115089</v>
      </c>
      <c r="AA200" s="153">
        <f t="shared" si="57"/>
        <v>22141.830725807187</v>
      </c>
      <c r="AB200" s="153">
        <f t="shared" si="57"/>
        <v>0</v>
      </c>
      <c r="AC200" s="153">
        <f t="shared" si="57"/>
        <v>5431.4788531118957</v>
      </c>
      <c r="AD200" s="153">
        <f t="shared" si="57"/>
        <v>36385.483067356567</v>
      </c>
      <c r="AE200" s="153">
        <f t="shared" si="57"/>
        <v>77264.080004540447</v>
      </c>
      <c r="AF200" s="153">
        <f t="shared" si="57"/>
        <v>168642.08154381238</v>
      </c>
      <c r="AG200" s="153">
        <f t="shared" si="57"/>
        <v>1205.9368810089552</v>
      </c>
      <c r="AH200" s="153">
        <f t="shared" si="57"/>
        <v>-275.17205218095773</v>
      </c>
      <c r="AI200" s="153">
        <f t="shared" si="57"/>
        <v>-32.198630000000001</v>
      </c>
      <c r="AJ200" s="153">
        <f t="shared" si="57"/>
        <v>-7272.5802796544276</v>
      </c>
      <c r="AK200" s="153">
        <f t="shared" si="57"/>
        <v>0</v>
      </c>
      <c r="AL200" s="153">
        <f t="shared" si="57"/>
        <v>-22511.799804167866</v>
      </c>
      <c r="AM200" s="153">
        <f t="shared" si="57"/>
        <v>0</v>
      </c>
      <c r="AN200" s="153">
        <f t="shared" si="57"/>
        <v>-33389.843591707882</v>
      </c>
      <c r="AO200" s="153">
        <f t="shared" si="57"/>
        <v>0</v>
      </c>
    </row>
    <row r="201" spans="3:43" x14ac:dyDescent="0.35">
      <c r="C201" s="88"/>
      <c r="D201" s="2"/>
      <c r="E201" s="2"/>
      <c r="G201" s="13"/>
    </row>
    <row r="202" spans="3:43" x14ac:dyDescent="0.35">
      <c r="C202" s="31" t="str">
        <f ca="1">INDEX('Version control'!$H$34:$H$57,MATCH($A$1,'Version control'!$F$34:$F$57,0),1)&amp;"-K: LDNO margins"</f>
        <v>Section 118-K: LDNO margins</v>
      </c>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3:43" x14ac:dyDescent="0.35">
      <c r="C203" s="88"/>
      <c r="D203" s="2"/>
      <c r="E203" s="2"/>
      <c r="G203" s="13"/>
    </row>
    <row r="204" spans="3:43" x14ac:dyDescent="0.35">
      <c r="C204" s="88"/>
      <c r="D204" s="2" t="s">
        <v>793</v>
      </c>
      <c r="E204" s="2"/>
      <c r="G204" s="13"/>
    </row>
    <row r="205" spans="3:43" x14ac:dyDescent="0.35">
      <c r="D205" s="32"/>
      <c r="G205" s="13"/>
      <c r="H205" s="12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3:43" x14ac:dyDescent="0.35">
      <c r="C206" s="88"/>
      <c r="D206" s="2"/>
      <c r="E206" t="s">
        <v>794</v>
      </c>
      <c r="G206" s="28" t="s">
        <v>167</v>
      </c>
      <c r="J206" s="111">
        <f>IF( AND( ISNUMBER(J$140), J$140 &lt;&gt; 0), ( J$140 - J189 ) / J$140, 0)</f>
        <v>0.23511032286691741</v>
      </c>
      <c r="K206" s="111">
        <f>IF( AND( ISNUMBER(K$140), K$140 &lt;&gt; 0), ( K$140 - K189 ) / K$140, 0)</f>
        <v>0.2936577405014234</v>
      </c>
      <c r="L206" s="111">
        <f t="shared" ref="L206:AK206" si="58">IF( AND( ISNUMBER(L$140), L$140 &lt;&gt; 0), ( L$140 - L189 ) / L$140, 0)</f>
        <v>0</v>
      </c>
      <c r="M206" s="111">
        <f t="shared" si="58"/>
        <v>0.29317431918824383</v>
      </c>
      <c r="N206" s="111">
        <f t="shared" si="58"/>
        <v>0.29340409299868936</v>
      </c>
      <c r="O206" s="111">
        <f t="shared" si="58"/>
        <v>0.2934692691884126</v>
      </c>
      <c r="P206" s="111">
        <f t="shared" si="58"/>
        <v>0.29353373592952642</v>
      </c>
      <c r="Q206" s="111">
        <f t="shared" si="58"/>
        <v>0.29333986252877031</v>
      </c>
      <c r="R206" s="111">
        <f t="shared" si="58"/>
        <v>0</v>
      </c>
      <c r="S206" s="111">
        <f t="shared" si="58"/>
        <v>0.29358165650766216</v>
      </c>
      <c r="T206" s="111">
        <f t="shared" si="58"/>
        <v>0.29358510644072722</v>
      </c>
      <c r="U206" s="111">
        <f t="shared" si="58"/>
        <v>0.29359084759163012</v>
      </c>
      <c r="V206" s="111">
        <f t="shared" si="58"/>
        <v>0.2935934929179797</v>
      </c>
      <c r="W206" s="111">
        <f t="shared" si="58"/>
        <v>0</v>
      </c>
      <c r="X206" s="111">
        <f t="shared" si="58"/>
        <v>1</v>
      </c>
      <c r="Y206" s="111">
        <f t="shared" si="58"/>
        <v>1</v>
      </c>
      <c r="Z206" s="111">
        <f t="shared" si="58"/>
        <v>1</v>
      </c>
      <c r="AA206" s="111">
        <f t="shared" si="58"/>
        <v>1</v>
      </c>
      <c r="AB206" s="111">
        <f t="shared" si="58"/>
        <v>0</v>
      </c>
      <c r="AC206" s="111">
        <f t="shared" si="58"/>
        <v>1</v>
      </c>
      <c r="AD206" s="111">
        <f t="shared" si="58"/>
        <v>1</v>
      </c>
      <c r="AE206" s="111">
        <f t="shared" si="58"/>
        <v>1</v>
      </c>
      <c r="AF206" s="111">
        <f t="shared" si="58"/>
        <v>1</v>
      </c>
      <c r="AG206" s="111">
        <f t="shared" si="58"/>
        <v>0.29367153540264629</v>
      </c>
      <c r="AH206" s="111">
        <f t="shared" si="58"/>
        <v>0</v>
      </c>
      <c r="AI206" s="406"/>
      <c r="AJ206" s="111">
        <f t="shared" si="58"/>
        <v>-1.2505804911047952E-16</v>
      </c>
      <c r="AK206" s="111">
        <f t="shared" si="58"/>
        <v>0</v>
      </c>
      <c r="AL206" s="406"/>
      <c r="AM206" s="406"/>
      <c r="AN206" s="406"/>
      <c r="AO206" s="406"/>
    </row>
    <row r="207" spans="3:43" x14ac:dyDescent="0.35">
      <c r="C207" s="88"/>
      <c r="D207" s="2"/>
      <c r="E207" t="s">
        <v>795</v>
      </c>
      <c r="G207" s="28" t="s">
        <v>167</v>
      </c>
      <c r="J207" s="111">
        <f>IF( AND( ISNUMBER(J$140), J$140 &lt;&gt; 0), ( J$140 - J200 ) / J$140, 0)</f>
        <v>0.42628079817525111</v>
      </c>
      <c r="K207" s="111">
        <f>IF( AND( ISNUMBER(K$140), K$140 &lt;&gt; 0), ( K$140 - K200 ) / K$140, 0)</f>
        <v>0.5327762832458105</v>
      </c>
      <c r="L207" s="111">
        <f t="shared" ref="L207:AO207" si="59">IF( AND( ISNUMBER(L$140), L$140 &lt;&gt; 0), ( L$140 - L200 ) / L$140, 0)</f>
        <v>0</v>
      </c>
      <c r="M207" s="111">
        <f t="shared" si="59"/>
        <v>0.53129413684362425</v>
      </c>
      <c r="N207" s="111">
        <f t="shared" si="59"/>
        <v>0.53203371288153334</v>
      </c>
      <c r="O207" s="111">
        <f t="shared" si="59"/>
        <v>0.532291977015106</v>
      </c>
      <c r="P207" s="111">
        <f t="shared" si="59"/>
        <v>0.53240164716642269</v>
      </c>
      <c r="Q207" s="111">
        <f t="shared" si="59"/>
        <v>0.53234664541341747</v>
      </c>
      <c r="R207" s="111">
        <f t="shared" si="59"/>
        <v>0</v>
      </c>
      <c r="S207" s="111">
        <f t="shared" si="59"/>
        <v>0.53244754800760574</v>
      </c>
      <c r="T207" s="111">
        <f t="shared" si="59"/>
        <v>0.53245606095997355</v>
      </c>
      <c r="U207" s="111">
        <f t="shared" si="59"/>
        <v>0.53246334734454526</v>
      </c>
      <c r="V207" s="111">
        <f t="shared" si="59"/>
        <v>0.53246789231803981</v>
      </c>
      <c r="W207" s="111">
        <f t="shared" si="59"/>
        <v>0</v>
      </c>
      <c r="X207" s="111">
        <f t="shared" si="59"/>
        <v>0.32551478527302141</v>
      </c>
      <c r="Y207" s="111">
        <f t="shared" si="59"/>
        <v>0.32545578530549035</v>
      </c>
      <c r="Z207" s="111">
        <f t="shared" si="59"/>
        <v>0.32545424025423875</v>
      </c>
      <c r="AA207" s="111">
        <f t="shared" si="59"/>
        <v>0.32547314087968338</v>
      </c>
      <c r="AB207" s="111">
        <f t="shared" si="59"/>
        <v>0</v>
      </c>
      <c r="AC207" s="111">
        <f t="shared" si="59"/>
        <v>0.26243658552602445</v>
      </c>
      <c r="AD207" s="111">
        <f t="shared" si="59"/>
        <v>0.2624459212155652</v>
      </c>
      <c r="AE207" s="111">
        <f t="shared" si="59"/>
        <v>0.2624470057925844</v>
      </c>
      <c r="AF207" s="111">
        <f t="shared" si="59"/>
        <v>0.26244735718580398</v>
      </c>
      <c r="AG207" s="111">
        <f t="shared" si="59"/>
        <v>0.53251774462509571</v>
      </c>
      <c r="AH207" s="111">
        <f t="shared" si="59"/>
        <v>0</v>
      </c>
      <c r="AI207" s="111">
        <f t="shared" si="59"/>
        <v>0</v>
      </c>
      <c r="AJ207" s="111">
        <f t="shared" si="59"/>
        <v>-1.2505804911047952E-16</v>
      </c>
      <c r="AK207" s="111">
        <f t="shared" si="59"/>
        <v>0</v>
      </c>
      <c r="AL207" s="111">
        <f t="shared" si="59"/>
        <v>0</v>
      </c>
      <c r="AM207" s="111">
        <f t="shared" si="59"/>
        <v>0</v>
      </c>
      <c r="AN207" s="111">
        <f t="shared" si="59"/>
        <v>-6.109356657916637E-2</v>
      </c>
      <c r="AO207" s="111">
        <f t="shared" si="59"/>
        <v>0</v>
      </c>
    </row>
    <row r="208" spans="3:43" x14ac:dyDescent="0.35">
      <c r="C208" s="88"/>
      <c r="D208" s="2"/>
      <c r="E208" s="2"/>
      <c r="F208" s="102"/>
      <c r="G208" s="102"/>
    </row>
    <row r="209" spans="2:43" x14ac:dyDescent="0.35">
      <c r="B209" s="30" t="s">
        <v>231</v>
      </c>
      <c r="C209" s="30"/>
      <c r="D209" s="30"/>
      <c r="E209" s="30"/>
      <c r="F209" s="30"/>
      <c r="G209" s="9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2:43" x14ac:dyDescent="0.35">
      <c r="F210" s="3"/>
      <c r="G210" s="212"/>
      <c r="H210" s="3"/>
      <c r="I210" s="3"/>
    </row>
    <row r="211" spans="2:43" x14ac:dyDescent="0.35">
      <c r="D211" t="s">
        <v>232</v>
      </c>
      <c r="G211" s="6" t="s">
        <v>55</v>
      </c>
      <c r="H211" s="103">
        <f t="array" ref="H211">SUM(IF(ISERROR($H$13:$AP$207), 1))</f>
        <v>0</v>
      </c>
      <c r="I211" s="3"/>
    </row>
    <row r="212" spans="2:43" x14ac:dyDescent="0.35">
      <c r="F212" s="3"/>
      <c r="G212" s="3"/>
      <c r="H212" s="3"/>
      <c r="I212" s="3"/>
    </row>
    <row r="213" spans="2:43" x14ac:dyDescent="0.35">
      <c r="B213" s="30" t="s">
        <v>106</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16" width="17" customWidth="1"/>
    <col min="17" max="17" width="2.453125" customWidth="1"/>
    <col min="18" max="18" width="50.54296875" customWidth="1"/>
    <col min="19" max="19" width="2.453125" customWidth="1"/>
    <col min="20" max="27" width="0" hidden="1" customWidth="1"/>
    <col min="28" max="28" width="24.54296875" hidden="1" customWidth="1"/>
    <col min="29" max="29" width="3.54296875" hidden="1" customWidth="1"/>
    <col min="30" max="30" width="15.453125" hidden="1" customWidth="1"/>
    <col min="31" max="285" width="24.54296875" hidden="1" customWidth="1"/>
    <col min="286" max="16384" width="8.54296875" hidden="1"/>
  </cols>
  <sheetData>
    <row r="1" spans="1:44" s="1" customFormat="1" x14ac:dyDescent="0.35">
      <c r="A1" s="1" t="str">
        <f ca="1">MID(CELL("filename",A1),FIND("]",CELL("filename",A1))+1,255)</f>
        <v>Tariff summary</v>
      </c>
    </row>
    <row r="2" spans="1:44" s="1" customFormat="1" x14ac:dyDescent="0.35">
      <c r="A2" s="1" t="str">
        <f>Cover!D21&amp;" - "&amp;Cover!D23</f>
        <v>Scottish Hydro Electric Power Distribution plc - Final_V1.1 (Updated 31-01-22)</v>
      </c>
    </row>
    <row r="3" spans="1:44" s="5" customFormat="1" x14ac:dyDescent="0.35">
      <c r="A3" s="5" t="str">
        <f>Cover!D2&amp;" - "&amp;Cover!D8&amp;" v"&amp;Cover!D10&amp;" - "&amp;Cover!D19</f>
        <v>CDCM charging model - Release for charge setting v7 - 2022/23</v>
      </c>
    </row>
    <row r="4" spans="1:44" x14ac:dyDescent="0.35">
      <c r="A4" s="12" t="str">
        <f>H119 &amp; IF(H119 = 1, " issue", " issues") &amp;" identified in checks on this sheet"</f>
        <v>0 issues identified in checks on this sheet</v>
      </c>
      <c r="B4" s="13"/>
      <c r="C4" s="13"/>
      <c r="D4" s="13"/>
      <c r="E4" s="13"/>
      <c r="F4" s="13"/>
      <c r="G4" s="13"/>
      <c r="H4" s="14"/>
      <c r="I4" s="14"/>
      <c r="J4" s="13"/>
    </row>
    <row r="5" spans="1:44" ht="43.5" x14ac:dyDescent="0.35">
      <c r="B5" s="59" t="s">
        <v>142</v>
      </c>
      <c r="C5" s="60"/>
      <c r="D5" s="60"/>
      <c r="E5" s="60"/>
      <c r="F5" s="60"/>
      <c r="G5" s="61"/>
      <c r="H5" s="61" t="s">
        <v>796</v>
      </c>
      <c r="J5" s="62" t="s">
        <v>797</v>
      </c>
      <c r="K5" s="62" t="s">
        <v>798</v>
      </c>
      <c r="L5" s="62" t="s">
        <v>799</v>
      </c>
      <c r="M5" s="62" t="s">
        <v>800</v>
      </c>
      <c r="N5" s="62" t="s">
        <v>801</v>
      </c>
      <c r="O5" s="62" t="s">
        <v>802</v>
      </c>
      <c r="P5" s="62" t="s">
        <v>803</v>
      </c>
      <c r="R5" s="61" t="s">
        <v>145</v>
      </c>
    </row>
    <row r="7" spans="1:44" x14ac:dyDescent="0.35">
      <c r="B7" s="30" t="s">
        <v>10</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35">
      <c r="C9" s="29" t="s">
        <v>804</v>
      </c>
    </row>
    <row r="11" spans="1:44" x14ac:dyDescent="0.35">
      <c r="B11" s="30" t="s">
        <v>96</v>
      </c>
      <c r="C11" s="30"/>
      <c r="D11" s="30"/>
      <c r="E11" s="30"/>
      <c r="F11" s="30"/>
      <c r="G11" s="30"/>
      <c r="H11" s="30"/>
      <c r="I11" s="30"/>
      <c r="J11" s="30"/>
      <c r="K11" s="30"/>
      <c r="L11" s="105"/>
      <c r="M11" s="105"/>
      <c r="N11" s="105"/>
      <c r="O11" s="105"/>
      <c r="P11" s="105"/>
      <c r="Q11" s="105"/>
      <c r="R11" s="105"/>
    </row>
    <row r="12" spans="1:44" x14ac:dyDescent="0.35">
      <c r="D12"/>
      <c r="E12"/>
    </row>
    <row r="13" spans="1:44" x14ac:dyDescent="0.35">
      <c r="C13" s="31" t="str">
        <f>"Output 101-A: Tariffs for "&amp; charging_year</f>
        <v>Output 101-A: Tariffs for 2022/23</v>
      </c>
      <c r="D13" s="31"/>
      <c r="E13" s="31"/>
      <c r="F13" s="31"/>
      <c r="G13" s="31"/>
      <c r="H13" s="31"/>
      <c r="I13" s="31"/>
      <c r="J13" s="31"/>
      <c r="K13" s="31"/>
      <c r="L13" s="31"/>
      <c r="M13" s="31"/>
      <c r="N13" s="31"/>
      <c r="O13" s="31"/>
      <c r="P13" s="31"/>
      <c r="Q13" s="31"/>
      <c r="R13" s="31"/>
    </row>
    <row r="14" spans="1:44" x14ac:dyDescent="0.35">
      <c r="D14"/>
      <c r="E14"/>
    </row>
    <row r="15" spans="1:44" x14ac:dyDescent="0.35">
      <c r="D15" s="32"/>
      <c r="E15" s="32" t="s">
        <v>805</v>
      </c>
    </row>
    <row r="16" spans="1:44" x14ac:dyDescent="0.35">
      <c r="F16" s="23" t="s">
        <v>913</v>
      </c>
      <c r="G16" s="23"/>
      <c r="H16" s="23" t="s">
        <v>773</v>
      </c>
      <c r="I16" s="23"/>
      <c r="J16" s="220">
        <f t="array" ref="J16:P47">TRANSPOSE(Rounding!J150:AO156)</f>
        <v>8.7579999999999991</v>
      </c>
      <c r="K16" s="220">
        <v>1.821</v>
      </c>
      <c r="L16" s="220">
        <v>0.63400000000000001</v>
      </c>
      <c r="M16" s="388">
        <v>27.51</v>
      </c>
      <c r="N16" s="221">
        <v>0</v>
      </c>
      <c r="O16" s="221">
        <v>0</v>
      </c>
      <c r="P16" s="220">
        <v>0</v>
      </c>
    </row>
    <row r="17" spans="6:16" x14ac:dyDescent="0.35">
      <c r="F17" t="s">
        <v>831</v>
      </c>
      <c r="H17" t="s">
        <v>773</v>
      </c>
      <c r="J17" s="222">
        <v>8.7579999999999991</v>
      </c>
      <c r="K17" s="222">
        <v>1.821</v>
      </c>
      <c r="L17" s="222">
        <v>0.63400000000000001</v>
      </c>
      <c r="M17" s="389">
        <v>0</v>
      </c>
      <c r="N17" s="223">
        <v>0</v>
      </c>
      <c r="O17" s="223">
        <v>0</v>
      </c>
      <c r="P17" s="222">
        <v>0</v>
      </c>
    </row>
    <row r="18" spans="6:16" x14ac:dyDescent="0.35">
      <c r="F18" t="s">
        <v>914</v>
      </c>
      <c r="H18" t="s">
        <v>773</v>
      </c>
      <c r="J18" s="222">
        <v>10.050000000000001</v>
      </c>
      <c r="K18" s="222">
        <v>2.089</v>
      </c>
      <c r="L18" s="222">
        <v>0.72699999999999998</v>
      </c>
      <c r="M18" s="389">
        <v>10.37</v>
      </c>
      <c r="N18" s="223">
        <v>0</v>
      </c>
      <c r="O18" s="223">
        <v>0</v>
      </c>
      <c r="P18" s="222">
        <v>0</v>
      </c>
    </row>
    <row r="19" spans="6:16" x14ac:dyDescent="0.35">
      <c r="F19" t="s">
        <v>915</v>
      </c>
      <c r="H19" t="s">
        <v>773</v>
      </c>
      <c r="J19" s="222">
        <v>10.050000000000001</v>
      </c>
      <c r="K19" s="222">
        <v>2.089</v>
      </c>
      <c r="L19" s="222">
        <v>0.72699999999999998</v>
      </c>
      <c r="M19" s="389">
        <v>13.38</v>
      </c>
      <c r="N19" s="223">
        <v>0</v>
      </c>
      <c r="O19" s="223">
        <v>0</v>
      </c>
      <c r="P19" s="222">
        <v>0</v>
      </c>
    </row>
    <row r="20" spans="6:16" x14ac:dyDescent="0.35">
      <c r="F20" t="s">
        <v>916</v>
      </c>
      <c r="H20" t="s">
        <v>773</v>
      </c>
      <c r="J20" s="222">
        <v>10.050000000000001</v>
      </c>
      <c r="K20" s="222">
        <v>2.089</v>
      </c>
      <c r="L20" s="222">
        <v>0.72699999999999998</v>
      </c>
      <c r="M20" s="389">
        <v>28.17</v>
      </c>
      <c r="N20" s="223">
        <v>0</v>
      </c>
      <c r="O20" s="223">
        <v>0</v>
      </c>
      <c r="P20" s="222">
        <v>0</v>
      </c>
    </row>
    <row r="21" spans="6:16" x14ac:dyDescent="0.35">
      <c r="F21" t="s">
        <v>917</v>
      </c>
      <c r="H21" t="s">
        <v>773</v>
      </c>
      <c r="J21" s="222">
        <v>10.050000000000001</v>
      </c>
      <c r="K21" s="222">
        <v>2.089</v>
      </c>
      <c r="L21" s="222">
        <v>0.72699999999999998</v>
      </c>
      <c r="M21" s="389">
        <v>54.3</v>
      </c>
      <c r="N21" s="223">
        <v>0</v>
      </c>
      <c r="O21" s="223">
        <v>0</v>
      </c>
      <c r="P21" s="222">
        <v>0</v>
      </c>
    </row>
    <row r="22" spans="6:16" x14ac:dyDescent="0.35">
      <c r="F22" t="s">
        <v>918</v>
      </c>
      <c r="H22" t="s">
        <v>773</v>
      </c>
      <c r="J22" s="222">
        <v>10.050000000000001</v>
      </c>
      <c r="K22" s="222">
        <v>2.089</v>
      </c>
      <c r="L22" s="222">
        <v>0.72699999999999998</v>
      </c>
      <c r="M22" s="389">
        <v>154.1</v>
      </c>
      <c r="N22" s="223">
        <v>0</v>
      </c>
      <c r="O22" s="223">
        <v>0</v>
      </c>
      <c r="P22" s="222">
        <v>0</v>
      </c>
    </row>
    <row r="23" spans="6:16" x14ac:dyDescent="0.35">
      <c r="F23" t="s">
        <v>832</v>
      </c>
      <c r="H23" t="s">
        <v>773</v>
      </c>
      <c r="J23" s="222">
        <v>10.050000000000001</v>
      </c>
      <c r="K23" s="222">
        <v>2.089</v>
      </c>
      <c r="L23" s="222">
        <v>0.72699999999999998</v>
      </c>
      <c r="M23" s="389">
        <v>0</v>
      </c>
      <c r="N23" s="223">
        <v>0</v>
      </c>
      <c r="O23" s="223">
        <v>0</v>
      </c>
      <c r="P23" s="222">
        <v>0</v>
      </c>
    </row>
    <row r="24" spans="6:16" x14ac:dyDescent="0.35">
      <c r="F24" t="s">
        <v>919</v>
      </c>
      <c r="H24" t="s">
        <v>773</v>
      </c>
      <c r="J24" s="222">
        <v>7.2439999999999998</v>
      </c>
      <c r="K24" s="222">
        <v>1.466</v>
      </c>
      <c r="L24" s="222">
        <v>0.51400000000000001</v>
      </c>
      <c r="M24" s="389">
        <v>27.17</v>
      </c>
      <c r="N24" s="223">
        <v>5.45</v>
      </c>
      <c r="O24" s="223">
        <v>9.52</v>
      </c>
      <c r="P24" s="222">
        <v>0.28999999999999998</v>
      </c>
    </row>
    <row r="25" spans="6:16" x14ac:dyDescent="0.35">
      <c r="F25" t="s">
        <v>920</v>
      </c>
      <c r="H25" t="s">
        <v>773</v>
      </c>
      <c r="J25" s="222">
        <v>7.2439999999999998</v>
      </c>
      <c r="K25" s="222">
        <v>1.466</v>
      </c>
      <c r="L25" s="222">
        <v>0.51400000000000001</v>
      </c>
      <c r="M25" s="389">
        <v>253.33</v>
      </c>
      <c r="N25" s="223">
        <v>5.45</v>
      </c>
      <c r="O25" s="223">
        <v>9.52</v>
      </c>
      <c r="P25" s="222">
        <v>0.28999999999999998</v>
      </c>
    </row>
    <row r="26" spans="6:16" x14ac:dyDescent="0.35">
      <c r="F26" t="s">
        <v>921</v>
      </c>
      <c r="H26" t="s">
        <v>773</v>
      </c>
      <c r="J26" s="222">
        <v>7.2439999999999998</v>
      </c>
      <c r="K26" s="222">
        <v>1.466</v>
      </c>
      <c r="L26" s="222">
        <v>0.51400000000000001</v>
      </c>
      <c r="M26" s="389">
        <v>453.03</v>
      </c>
      <c r="N26" s="223">
        <v>5.45</v>
      </c>
      <c r="O26" s="223">
        <v>9.52</v>
      </c>
      <c r="P26" s="222">
        <v>0.28999999999999998</v>
      </c>
    </row>
    <row r="27" spans="6:16" x14ac:dyDescent="0.35">
      <c r="F27" t="s">
        <v>922</v>
      </c>
      <c r="H27" t="s">
        <v>773</v>
      </c>
      <c r="J27" s="222">
        <v>7.2439999999999998</v>
      </c>
      <c r="K27" s="222">
        <v>1.466</v>
      </c>
      <c r="L27" s="222">
        <v>0.51400000000000001</v>
      </c>
      <c r="M27" s="389">
        <v>736.93</v>
      </c>
      <c r="N27" s="223">
        <v>5.45</v>
      </c>
      <c r="O27" s="223">
        <v>9.52</v>
      </c>
      <c r="P27" s="222">
        <v>0.28999999999999998</v>
      </c>
    </row>
    <row r="28" spans="6:16" x14ac:dyDescent="0.35">
      <c r="F28" t="s">
        <v>923</v>
      </c>
      <c r="H28" t="s">
        <v>773</v>
      </c>
      <c r="J28" s="222">
        <v>7.2439999999999998</v>
      </c>
      <c r="K28" s="222">
        <v>1.466</v>
      </c>
      <c r="L28" s="222">
        <v>0.51400000000000001</v>
      </c>
      <c r="M28" s="389">
        <v>1686.66</v>
      </c>
      <c r="N28" s="223">
        <v>5.45</v>
      </c>
      <c r="O28" s="223">
        <v>9.52</v>
      </c>
      <c r="P28" s="222">
        <v>0.28999999999999998</v>
      </c>
    </row>
    <row r="29" spans="6:16" x14ac:dyDescent="0.35">
      <c r="F29" t="s">
        <v>924</v>
      </c>
      <c r="H29" t="s">
        <v>773</v>
      </c>
      <c r="J29" s="222">
        <v>3.7450000000000001</v>
      </c>
      <c r="K29" s="222">
        <v>0.67800000000000005</v>
      </c>
      <c r="L29" s="222">
        <v>0.246</v>
      </c>
      <c r="M29" s="389">
        <v>63.83</v>
      </c>
      <c r="N29" s="223">
        <v>8.6300000000000008</v>
      </c>
      <c r="O29" s="223">
        <v>11.68</v>
      </c>
      <c r="P29" s="222">
        <v>0.13700000000000001</v>
      </c>
    </row>
    <row r="30" spans="6:16" x14ac:dyDescent="0.35">
      <c r="F30" t="s">
        <v>925</v>
      </c>
      <c r="H30" t="s">
        <v>773</v>
      </c>
      <c r="J30" s="222">
        <v>3.7450000000000001</v>
      </c>
      <c r="K30" s="222">
        <v>0.67800000000000005</v>
      </c>
      <c r="L30" s="222">
        <v>0.246</v>
      </c>
      <c r="M30" s="389">
        <v>289.99</v>
      </c>
      <c r="N30" s="223">
        <v>8.6300000000000008</v>
      </c>
      <c r="O30" s="223">
        <v>11.68</v>
      </c>
      <c r="P30" s="222">
        <v>0.13700000000000001</v>
      </c>
    </row>
    <row r="31" spans="6:16" x14ac:dyDescent="0.35">
      <c r="F31" s="311" t="s">
        <v>926</v>
      </c>
      <c r="G31" s="311"/>
      <c r="H31" s="311" t="s">
        <v>773</v>
      </c>
      <c r="I31" s="311"/>
      <c r="J31" s="346">
        <v>3.7450000000000001</v>
      </c>
      <c r="K31" s="346">
        <v>0.67800000000000005</v>
      </c>
      <c r="L31" s="346">
        <v>0.246</v>
      </c>
      <c r="M31" s="390">
        <v>489.68</v>
      </c>
      <c r="N31" s="347">
        <v>8.6300000000000008</v>
      </c>
      <c r="O31" s="347">
        <v>11.68</v>
      </c>
      <c r="P31" s="346">
        <v>0.13700000000000001</v>
      </c>
    </row>
    <row r="32" spans="6:16" x14ac:dyDescent="0.35">
      <c r="F32" s="311" t="s">
        <v>927</v>
      </c>
      <c r="G32" s="311"/>
      <c r="H32" s="311" t="s">
        <v>773</v>
      </c>
      <c r="I32" s="311"/>
      <c r="J32" s="346">
        <v>3.7450000000000001</v>
      </c>
      <c r="K32" s="346">
        <v>0.67800000000000005</v>
      </c>
      <c r="L32" s="346">
        <v>0.246</v>
      </c>
      <c r="M32" s="390">
        <v>773.58</v>
      </c>
      <c r="N32" s="347">
        <v>8.6300000000000008</v>
      </c>
      <c r="O32" s="347">
        <v>11.68</v>
      </c>
      <c r="P32" s="346">
        <v>0.13700000000000001</v>
      </c>
    </row>
    <row r="33" spans="6:16" x14ac:dyDescent="0.35">
      <c r="F33" s="311" t="s">
        <v>928</v>
      </c>
      <c r="G33" s="311"/>
      <c r="H33" s="311" t="s">
        <v>773</v>
      </c>
      <c r="I33" s="311"/>
      <c r="J33" s="346">
        <v>3.7450000000000001</v>
      </c>
      <c r="K33" s="346">
        <v>0.67800000000000005</v>
      </c>
      <c r="L33" s="346">
        <v>0.246</v>
      </c>
      <c r="M33" s="390">
        <v>1723.31</v>
      </c>
      <c r="N33" s="347">
        <v>8.6300000000000008</v>
      </c>
      <c r="O33" s="347">
        <v>11.68</v>
      </c>
      <c r="P33" s="346">
        <v>0.13700000000000001</v>
      </c>
    </row>
    <row r="34" spans="6:16" x14ac:dyDescent="0.35">
      <c r="F34" s="311" t="s">
        <v>929</v>
      </c>
      <c r="G34" s="311"/>
      <c r="H34" s="311" t="s">
        <v>773</v>
      </c>
      <c r="I34" s="311"/>
      <c r="J34" s="346">
        <v>2.62</v>
      </c>
      <c r="K34" s="346">
        <v>0.45500000000000002</v>
      </c>
      <c r="L34" s="346">
        <v>0.17599999999999999</v>
      </c>
      <c r="M34" s="390">
        <v>322.11</v>
      </c>
      <c r="N34" s="347">
        <v>11.66</v>
      </c>
      <c r="O34" s="347">
        <v>13.57</v>
      </c>
      <c r="P34" s="346">
        <v>9.2999999999999999E-2</v>
      </c>
    </row>
    <row r="35" spans="6:16" x14ac:dyDescent="0.35">
      <c r="F35" s="311" t="s">
        <v>930</v>
      </c>
      <c r="G35" s="311"/>
      <c r="H35" s="311" t="s">
        <v>773</v>
      </c>
      <c r="I35" s="311"/>
      <c r="J35" s="346">
        <v>2.62</v>
      </c>
      <c r="K35" s="346">
        <v>0.45500000000000002</v>
      </c>
      <c r="L35" s="346">
        <v>0.17599999999999999</v>
      </c>
      <c r="M35" s="390">
        <v>741.62</v>
      </c>
      <c r="N35" s="347">
        <v>11.66</v>
      </c>
      <c r="O35" s="347">
        <v>13.57</v>
      </c>
      <c r="P35" s="346">
        <v>9.2999999999999999E-2</v>
      </c>
    </row>
    <row r="36" spans="6:16" x14ac:dyDescent="0.35">
      <c r="F36" s="311" t="s">
        <v>931</v>
      </c>
      <c r="G36" s="311"/>
      <c r="H36" s="311" t="s">
        <v>773</v>
      </c>
      <c r="I36" s="311"/>
      <c r="J36" s="346">
        <v>2.62</v>
      </c>
      <c r="K36" s="346">
        <v>0.45500000000000002</v>
      </c>
      <c r="L36" s="346">
        <v>0.17599999999999999</v>
      </c>
      <c r="M36" s="390">
        <v>3586.67</v>
      </c>
      <c r="N36" s="347">
        <v>11.66</v>
      </c>
      <c r="O36" s="347">
        <v>13.57</v>
      </c>
      <c r="P36" s="346">
        <v>9.2999999999999999E-2</v>
      </c>
    </row>
    <row r="37" spans="6:16" x14ac:dyDescent="0.35">
      <c r="F37" s="311" t="s">
        <v>932</v>
      </c>
      <c r="G37" s="311"/>
      <c r="H37" s="311" t="s">
        <v>773</v>
      </c>
      <c r="I37" s="311"/>
      <c r="J37" s="346">
        <v>2.62</v>
      </c>
      <c r="K37" s="346">
        <v>0.45500000000000002</v>
      </c>
      <c r="L37" s="346">
        <v>0.17599999999999999</v>
      </c>
      <c r="M37" s="390">
        <v>7343.92</v>
      </c>
      <c r="N37" s="347">
        <v>11.66</v>
      </c>
      <c r="O37" s="347">
        <v>13.57</v>
      </c>
      <c r="P37" s="346">
        <v>9.2999999999999999E-2</v>
      </c>
    </row>
    <row r="38" spans="6:16" x14ac:dyDescent="0.35">
      <c r="F38" s="311" t="s">
        <v>933</v>
      </c>
      <c r="G38" s="311"/>
      <c r="H38" s="311" t="s">
        <v>773</v>
      </c>
      <c r="I38" s="311"/>
      <c r="J38" s="346">
        <v>2.62</v>
      </c>
      <c r="K38" s="346">
        <v>0.45500000000000002</v>
      </c>
      <c r="L38" s="346">
        <v>0.17599999999999999</v>
      </c>
      <c r="M38" s="390">
        <v>15742.67</v>
      </c>
      <c r="N38" s="347">
        <v>11.66</v>
      </c>
      <c r="O38" s="347">
        <v>13.57</v>
      </c>
      <c r="P38" s="346">
        <v>9.2999999999999999E-2</v>
      </c>
    </row>
    <row r="39" spans="6:16" x14ac:dyDescent="0.35">
      <c r="F39" s="311" t="s">
        <v>841</v>
      </c>
      <c r="G39" s="311"/>
      <c r="H39" s="311" t="s">
        <v>773</v>
      </c>
      <c r="I39" s="311"/>
      <c r="J39" s="346">
        <v>17.414000000000001</v>
      </c>
      <c r="K39" s="346">
        <v>4.8899999999999997</v>
      </c>
      <c r="L39" s="346">
        <v>3.923</v>
      </c>
      <c r="M39" s="390">
        <v>0</v>
      </c>
      <c r="N39" s="347">
        <v>0</v>
      </c>
      <c r="O39" s="347">
        <v>0</v>
      </c>
      <c r="P39" s="346">
        <v>0</v>
      </c>
    </row>
    <row r="40" spans="6:16" x14ac:dyDescent="0.35">
      <c r="F40" s="311" t="s">
        <v>833</v>
      </c>
      <c r="G40" s="311"/>
      <c r="H40" s="311" t="s">
        <v>773</v>
      </c>
      <c r="I40" s="311"/>
      <c r="J40" s="346">
        <v>-6.77</v>
      </c>
      <c r="K40" s="346">
        <v>-1.407</v>
      </c>
      <c r="L40" s="346">
        <v>-0.49</v>
      </c>
      <c r="M40" s="390">
        <v>0</v>
      </c>
      <c r="N40" s="347">
        <v>0</v>
      </c>
      <c r="O40" s="347">
        <v>0</v>
      </c>
      <c r="P40" s="346">
        <v>0</v>
      </c>
    </row>
    <row r="41" spans="6:16" x14ac:dyDescent="0.35">
      <c r="F41" s="311" t="s">
        <v>834</v>
      </c>
      <c r="G41" s="311"/>
      <c r="H41" s="311" t="s">
        <v>773</v>
      </c>
      <c r="I41" s="311"/>
      <c r="J41" s="346">
        <v>-6.0629999999999997</v>
      </c>
      <c r="K41" s="346">
        <v>-1.246</v>
      </c>
      <c r="L41" s="346">
        <v>-0.435</v>
      </c>
      <c r="M41" s="390">
        <v>0</v>
      </c>
      <c r="N41" s="347">
        <v>0</v>
      </c>
      <c r="O41" s="347">
        <v>0</v>
      </c>
      <c r="P41" s="346">
        <v>0</v>
      </c>
    </row>
    <row r="42" spans="6:16" x14ac:dyDescent="0.35">
      <c r="F42" s="311" t="s">
        <v>835</v>
      </c>
      <c r="G42" s="311"/>
      <c r="H42" s="311" t="s">
        <v>773</v>
      </c>
      <c r="I42" s="311"/>
      <c r="J42" s="346">
        <v>-6.77</v>
      </c>
      <c r="K42" s="346">
        <v>-1.407</v>
      </c>
      <c r="L42" s="346">
        <v>-0.49</v>
      </c>
      <c r="M42" s="390">
        <v>0</v>
      </c>
      <c r="N42" s="347">
        <v>0</v>
      </c>
      <c r="O42" s="347">
        <v>0</v>
      </c>
      <c r="P42" s="346">
        <v>0.28399999999999997</v>
      </c>
    </row>
    <row r="43" spans="6:16" x14ac:dyDescent="0.35">
      <c r="F43" s="311" t="s">
        <v>844</v>
      </c>
      <c r="G43" s="311"/>
      <c r="H43" s="311" t="s">
        <v>773</v>
      </c>
      <c r="I43" s="311"/>
      <c r="J43" s="346">
        <v>-6.77</v>
      </c>
      <c r="K43" s="346">
        <v>-1.407</v>
      </c>
      <c r="L43" s="346">
        <v>-0.49</v>
      </c>
      <c r="M43" s="390">
        <v>0</v>
      </c>
      <c r="N43" s="347">
        <v>0</v>
      </c>
      <c r="O43" s="347">
        <v>0</v>
      </c>
      <c r="P43" s="346">
        <v>0</v>
      </c>
    </row>
    <row r="44" spans="6:16" x14ac:dyDescent="0.35">
      <c r="F44" s="311" t="s">
        <v>836</v>
      </c>
      <c r="G44" s="311"/>
      <c r="H44" s="311" t="s">
        <v>773</v>
      </c>
      <c r="I44" s="311"/>
      <c r="J44" s="346">
        <v>-6.0629999999999997</v>
      </c>
      <c r="K44" s="346">
        <v>-1.246</v>
      </c>
      <c r="L44" s="346">
        <v>-0.435</v>
      </c>
      <c r="M44" s="390">
        <v>0</v>
      </c>
      <c r="N44" s="347">
        <v>0</v>
      </c>
      <c r="O44" s="347">
        <v>0</v>
      </c>
      <c r="P44" s="346">
        <v>0.23799999999999999</v>
      </c>
    </row>
    <row r="45" spans="6:16" x14ac:dyDescent="0.35">
      <c r="F45" s="311" t="s">
        <v>843</v>
      </c>
      <c r="G45" s="311"/>
      <c r="H45" s="311" t="s">
        <v>773</v>
      </c>
      <c r="I45" s="311"/>
      <c r="J45" s="346">
        <v>-6.0629999999999997</v>
      </c>
      <c r="K45" s="346">
        <v>-1.246</v>
      </c>
      <c r="L45" s="346">
        <v>-0.435</v>
      </c>
      <c r="M45" s="390">
        <v>0</v>
      </c>
      <c r="N45" s="347">
        <v>0</v>
      </c>
      <c r="O45" s="347">
        <v>0</v>
      </c>
      <c r="P45" s="346">
        <v>0</v>
      </c>
    </row>
    <row r="46" spans="6:16" x14ac:dyDescent="0.35">
      <c r="F46" s="311" t="s">
        <v>837</v>
      </c>
      <c r="G46" s="311"/>
      <c r="H46" s="311" t="s">
        <v>773</v>
      </c>
      <c r="I46" s="311"/>
      <c r="J46" s="346">
        <v>-3.399</v>
      </c>
      <c r="K46" s="346">
        <v>-0.61499999999999999</v>
      </c>
      <c r="L46" s="346">
        <v>-0.224</v>
      </c>
      <c r="M46" s="390">
        <v>526.70000000000005</v>
      </c>
      <c r="N46" s="347">
        <v>0</v>
      </c>
      <c r="O46" s="347">
        <v>0</v>
      </c>
      <c r="P46" s="346">
        <v>0.216</v>
      </c>
    </row>
    <row r="47" spans="6:16" x14ac:dyDescent="0.35">
      <c r="F47" s="37" t="s">
        <v>842</v>
      </c>
      <c r="G47" s="37"/>
      <c r="H47" s="37" t="s">
        <v>773</v>
      </c>
      <c r="I47" s="37"/>
      <c r="J47" s="224">
        <v>-3.399</v>
      </c>
      <c r="K47" s="224">
        <v>-0.61499999999999999</v>
      </c>
      <c r="L47" s="224">
        <v>-0.224</v>
      </c>
      <c r="M47" s="391">
        <v>526.70000000000005</v>
      </c>
      <c r="N47" s="225">
        <v>0</v>
      </c>
      <c r="O47" s="225">
        <v>0</v>
      </c>
      <c r="P47" s="224">
        <v>0</v>
      </c>
    </row>
    <row r="48" spans="6:16" x14ac:dyDescent="0.35">
      <c r="F48" s="2"/>
      <c r="J48" s="14"/>
      <c r="K48" s="14"/>
      <c r="L48" s="14"/>
      <c r="M48" s="226"/>
      <c r="N48" s="226"/>
      <c r="O48" s="226"/>
      <c r="P48" s="14"/>
    </row>
    <row r="49" spans="4:16" x14ac:dyDescent="0.35">
      <c r="D49" s="32"/>
      <c r="E49" s="32" t="s">
        <v>806</v>
      </c>
      <c r="F49" s="2"/>
      <c r="J49" s="14"/>
      <c r="K49" s="14"/>
      <c r="L49" s="14"/>
      <c r="M49" s="226"/>
      <c r="N49" s="226"/>
      <c r="O49" s="226"/>
      <c r="P49" s="14"/>
    </row>
    <row r="50" spans="4:16" x14ac:dyDescent="0.35">
      <c r="F50" s="23" t="s">
        <v>913</v>
      </c>
      <c r="G50" s="23"/>
      <c r="H50" s="23" t="s">
        <v>448</v>
      </c>
      <c r="I50" s="23"/>
      <c r="J50" s="220">
        <f t="array" ref="J50:P81">TRANSPOSE(Rounding!J159:AO165)</f>
        <v>6.1859999999999999</v>
      </c>
      <c r="K50" s="220">
        <v>1.286</v>
      </c>
      <c r="L50" s="220">
        <v>0.44800000000000001</v>
      </c>
      <c r="M50" s="388">
        <v>22.34</v>
      </c>
      <c r="N50" s="221">
        <v>0</v>
      </c>
      <c r="O50" s="221">
        <v>0</v>
      </c>
      <c r="P50" s="220">
        <v>0</v>
      </c>
    </row>
    <row r="51" spans="4:16" x14ac:dyDescent="0.35">
      <c r="F51" t="s">
        <v>831</v>
      </c>
      <c r="H51" t="s">
        <v>448</v>
      </c>
      <c r="J51" s="222">
        <v>6.1859999999999999</v>
      </c>
      <c r="K51" s="222">
        <v>1.286</v>
      </c>
      <c r="L51" s="222">
        <v>0.44800000000000001</v>
      </c>
      <c r="M51" s="389">
        <v>0</v>
      </c>
      <c r="N51" s="223">
        <v>0</v>
      </c>
      <c r="O51" s="223">
        <v>0</v>
      </c>
      <c r="P51" s="222">
        <v>0</v>
      </c>
    </row>
    <row r="52" spans="4:16" x14ac:dyDescent="0.35">
      <c r="F52" t="s">
        <v>914</v>
      </c>
      <c r="H52" t="s">
        <v>448</v>
      </c>
      <c r="J52" s="222">
        <v>7.0979999999999999</v>
      </c>
      <c r="K52" s="222">
        <v>1.476</v>
      </c>
      <c r="L52" s="222">
        <v>0.51400000000000001</v>
      </c>
      <c r="M52" s="389">
        <v>7.34</v>
      </c>
      <c r="N52" s="223">
        <v>0</v>
      </c>
      <c r="O52" s="223">
        <v>0</v>
      </c>
      <c r="P52" s="222">
        <v>0</v>
      </c>
    </row>
    <row r="53" spans="4:16" x14ac:dyDescent="0.35">
      <c r="F53" t="s">
        <v>915</v>
      </c>
      <c r="H53" t="s">
        <v>448</v>
      </c>
      <c r="J53" s="222">
        <v>7.0979999999999999</v>
      </c>
      <c r="K53" s="222">
        <v>1.476</v>
      </c>
      <c r="L53" s="222">
        <v>0.51400000000000001</v>
      </c>
      <c r="M53" s="389">
        <v>9.4600000000000009</v>
      </c>
      <c r="N53" s="223">
        <v>0</v>
      </c>
      <c r="O53" s="223">
        <v>0</v>
      </c>
      <c r="P53" s="222">
        <v>0</v>
      </c>
    </row>
    <row r="54" spans="4:16" x14ac:dyDescent="0.35">
      <c r="F54" t="s">
        <v>916</v>
      </c>
      <c r="H54" t="s">
        <v>448</v>
      </c>
      <c r="J54" s="222">
        <v>7.0979999999999999</v>
      </c>
      <c r="K54" s="222">
        <v>1.476</v>
      </c>
      <c r="L54" s="222">
        <v>0.51400000000000001</v>
      </c>
      <c r="M54" s="389">
        <v>19.91</v>
      </c>
      <c r="N54" s="223">
        <v>0</v>
      </c>
      <c r="O54" s="223">
        <v>0</v>
      </c>
      <c r="P54" s="222">
        <v>0</v>
      </c>
    </row>
    <row r="55" spans="4:16" x14ac:dyDescent="0.35">
      <c r="F55" t="s">
        <v>917</v>
      </c>
      <c r="H55" t="s">
        <v>448</v>
      </c>
      <c r="J55" s="222">
        <v>7.0979999999999999</v>
      </c>
      <c r="K55" s="222">
        <v>1.476</v>
      </c>
      <c r="L55" s="222">
        <v>0.51400000000000001</v>
      </c>
      <c r="M55" s="389">
        <v>38.369999999999997</v>
      </c>
      <c r="N55" s="223">
        <v>0</v>
      </c>
      <c r="O55" s="223">
        <v>0</v>
      </c>
      <c r="P55" s="222">
        <v>0</v>
      </c>
    </row>
    <row r="56" spans="4:16" x14ac:dyDescent="0.35">
      <c r="F56" t="s">
        <v>918</v>
      </c>
      <c r="H56" t="s">
        <v>448</v>
      </c>
      <c r="J56" s="222">
        <v>7.0979999999999999</v>
      </c>
      <c r="K56" s="222">
        <v>1.476</v>
      </c>
      <c r="L56" s="222">
        <v>0.51400000000000001</v>
      </c>
      <c r="M56" s="389">
        <v>108.86</v>
      </c>
      <c r="N56" s="223">
        <v>0</v>
      </c>
      <c r="O56" s="223">
        <v>0</v>
      </c>
      <c r="P56" s="222">
        <v>0</v>
      </c>
    </row>
    <row r="57" spans="4:16" x14ac:dyDescent="0.35">
      <c r="F57" t="s">
        <v>832</v>
      </c>
      <c r="H57" t="s">
        <v>448</v>
      </c>
      <c r="J57" s="222">
        <v>7.0979999999999999</v>
      </c>
      <c r="K57" s="222">
        <v>1.476</v>
      </c>
      <c r="L57" s="222">
        <v>0.51400000000000001</v>
      </c>
      <c r="M57" s="389">
        <v>0</v>
      </c>
      <c r="N57" s="223">
        <v>0</v>
      </c>
      <c r="O57" s="223">
        <v>0</v>
      </c>
      <c r="P57" s="222">
        <v>0</v>
      </c>
    </row>
    <row r="58" spans="4:16" x14ac:dyDescent="0.35">
      <c r="F58" t="s">
        <v>919</v>
      </c>
      <c r="H58" t="s">
        <v>448</v>
      </c>
      <c r="J58" s="222">
        <v>5.1159999999999997</v>
      </c>
      <c r="K58" s="222">
        <v>1.036</v>
      </c>
      <c r="L58" s="222">
        <v>0.36299999999999999</v>
      </c>
      <c r="M58" s="389">
        <v>19.21</v>
      </c>
      <c r="N58" s="223">
        <v>3.85</v>
      </c>
      <c r="O58" s="223">
        <v>6.73</v>
      </c>
      <c r="P58" s="222">
        <v>0.20499999999999999</v>
      </c>
    </row>
    <row r="59" spans="4:16" x14ac:dyDescent="0.35">
      <c r="F59" t="s">
        <v>920</v>
      </c>
      <c r="H59" t="s">
        <v>448</v>
      </c>
      <c r="J59" s="222">
        <v>5.1159999999999997</v>
      </c>
      <c r="K59" s="222">
        <v>1.036</v>
      </c>
      <c r="L59" s="222">
        <v>0.36299999999999999</v>
      </c>
      <c r="M59" s="389">
        <v>178.94</v>
      </c>
      <c r="N59" s="223">
        <v>3.85</v>
      </c>
      <c r="O59" s="223">
        <v>6.73</v>
      </c>
      <c r="P59" s="222">
        <v>0.20499999999999999</v>
      </c>
    </row>
    <row r="60" spans="4:16" x14ac:dyDescent="0.35">
      <c r="F60" t="s">
        <v>921</v>
      </c>
      <c r="H60" t="s">
        <v>448</v>
      </c>
      <c r="J60" s="222">
        <v>5.1159999999999997</v>
      </c>
      <c r="K60" s="222">
        <v>1.036</v>
      </c>
      <c r="L60" s="222">
        <v>0.36299999999999999</v>
      </c>
      <c r="M60" s="389">
        <v>319.99</v>
      </c>
      <c r="N60" s="223">
        <v>3.85</v>
      </c>
      <c r="O60" s="223">
        <v>6.73</v>
      </c>
      <c r="P60" s="222">
        <v>0.20499999999999999</v>
      </c>
    </row>
    <row r="61" spans="4:16" x14ac:dyDescent="0.35">
      <c r="F61" t="s">
        <v>922</v>
      </c>
      <c r="H61" t="s">
        <v>448</v>
      </c>
      <c r="J61" s="222">
        <v>5.1159999999999997</v>
      </c>
      <c r="K61" s="222">
        <v>1.036</v>
      </c>
      <c r="L61" s="222">
        <v>0.36299999999999999</v>
      </c>
      <c r="M61" s="389">
        <v>520.5</v>
      </c>
      <c r="N61" s="223">
        <v>3.85</v>
      </c>
      <c r="O61" s="223">
        <v>6.73</v>
      </c>
      <c r="P61" s="222">
        <v>0.20499999999999999</v>
      </c>
    </row>
    <row r="62" spans="4:16" x14ac:dyDescent="0.35">
      <c r="F62" t="s">
        <v>923</v>
      </c>
      <c r="H62" t="s">
        <v>448</v>
      </c>
      <c r="J62" s="222">
        <v>5.1159999999999997</v>
      </c>
      <c r="K62" s="222">
        <v>1.036</v>
      </c>
      <c r="L62" s="222">
        <v>0.36299999999999999</v>
      </c>
      <c r="M62" s="389">
        <v>1191.29</v>
      </c>
      <c r="N62" s="223">
        <v>3.85</v>
      </c>
      <c r="O62" s="223">
        <v>6.73</v>
      </c>
      <c r="P62" s="222">
        <v>0.20499999999999999</v>
      </c>
    </row>
    <row r="63" spans="4:16" x14ac:dyDescent="0.35">
      <c r="F63" t="s">
        <v>924</v>
      </c>
      <c r="H63" t="s">
        <v>448</v>
      </c>
      <c r="J63" s="227">
        <v>0</v>
      </c>
      <c r="K63" s="227">
        <v>0</v>
      </c>
      <c r="L63" s="227">
        <v>0</v>
      </c>
      <c r="M63" s="407">
        <v>0</v>
      </c>
      <c r="N63" s="349">
        <v>0</v>
      </c>
      <c r="O63" s="349">
        <v>0</v>
      </c>
      <c r="P63" s="227">
        <v>0</v>
      </c>
    </row>
    <row r="64" spans="4:16" x14ac:dyDescent="0.35">
      <c r="F64" t="s">
        <v>925</v>
      </c>
      <c r="H64" t="s">
        <v>448</v>
      </c>
      <c r="J64" s="227">
        <v>0</v>
      </c>
      <c r="K64" s="227">
        <v>0</v>
      </c>
      <c r="L64" s="227">
        <v>0</v>
      </c>
      <c r="M64" s="407">
        <v>0</v>
      </c>
      <c r="N64" s="349">
        <v>0</v>
      </c>
      <c r="O64" s="349">
        <v>0</v>
      </c>
      <c r="P64" s="227">
        <v>0</v>
      </c>
    </row>
    <row r="65" spans="6:16" x14ac:dyDescent="0.35">
      <c r="F65" s="311" t="s">
        <v>926</v>
      </c>
      <c r="H65" t="s">
        <v>448</v>
      </c>
      <c r="J65" s="348">
        <v>0</v>
      </c>
      <c r="K65" s="348">
        <v>0</v>
      </c>
      <c r="L65" s="348">
        <v>0</v>
      </c>
      <c r="M65" s="408">
        <v>0</v>
      </c>
      <c r="N65" s="350">
        <v>0</v>
      </c>
      <c r="O65" s="350">
        <v>0</v>
      </c>
      <c r="P65" s="348">
        <v>0</v>
      </c>
    </row>
    <row r="66" spans="6:16" x14ac:dyDescent="0.35">
      <c r="F66" s="311" t="s">
        <v>927</v>
      </c>
      <c r="H66" t="s">
        <v>448</v>
      </c>
      <c r="J66" s="348">
        <v>0</v>
      </c>
      <c r="K66" s="348">
        <v>0</v>
      </c>
      <c r="L66" s="348">
        <v>0</v>
      </c>
      <c r="M66" s="408">
        <v>0</v>
      </c>
      <c r="N66" s="350">
        <v>0</v>
      </c>
      <c r="O66" s="350">
        <v>0</v>
      </c>
      <c r="P66" s="348">
        <v>0</v>
      </c>
    </row>
    <row r="67" spans="6:16" x14ac:dyDescent="0.35">
      <c r="F67" s="311" t="s">
        <v>928</v>
      </c>
      <c r="H67" t="s">
        <v>448</v>
      </c>
      <c r="J67" s="348">
        <v>0</v>
      </c>
      <c r="K67" s="348">
        <v>0</v>
      </c>
      <c r="L67" s="348">
        <v>0</v>
      </c>
      <c r="M67" s="408">
        <v>0</v>
      </c>
      <c r="N67" s="350">
        <v>0</v>
      </c>
      <c r="O67" s="350">
        <v>0</v>
      </c>
      <c r="P67" s="348">
        <v>0</v>
      </c>
    </row>
    <row r="68" spans="6:16" x14ac:dyDescent="0.35">
      <c r="F68" s="311" t="s">
        <v>929</v>
      </c>
      <c r="H68" t="s">
        <v>448</v>
      </c>
      <c r="J68" s="348">
        <v>0</v>
      </c>
      <c r="K68" s="348">
        <v>0</v>
      </c>
      <c r="L68" s="348">
        <v>0</v>
      </c>
      <c r="M68" s="408">
        <v>0</v>
      </c>
      <c r="N68" s="350">
        <v>0</v>
      </c>
      <c r="O68" s="350">
        <v>0</v>
      </c>
      <c r="P68" s="348">
        <v>0</v>
      </c>
    </row>
    <row r="69" spans="6:16" x14ac:dyDescent="0.35">
      <c r="F69" s="311" t="s">
        <v>930</v>
      </c>
      <c r="H69" t="s">
        <v>448</v>
      </c>
      <c r="J69" s="348">
        <v>0</v>
      </c>
      <c r="K69" s="348">
        <v>0</v>
      </c>
      <c r="L69" s="348">
        <v>0</v>
      </c>
      <c r="M69" s="408">
        <v>0</v>
      </c>
      <c r="N69" s="350">
        <v>0</v>
      </c>
      <c r="O69" s="350">
        <v>0</v>
      </c>
      <c r="P69" s="348">
        <v>0</v>
      </c>
    </row>
    <row r="70" spans="6:16" x14ac:dyDescent="0.35">
      <c r="F70" s="311" t="s">
        <v>931</v>
      </c>
      <c r="H70" t="s">
        <v>448</v>
      </c>
      <c r="J70" s="348">
        <v>0</v>
      </c>
      <c r="K70" s="348">
        <v>0</v>
      </c>
      <c r="L70" s="348">
        <v>0</v>
      </c>
      <c r="M70" s="408">
        <v>0</v>
      </c>
      <c r="N70" s="350">
        <v>0</v>
      </c>
      <c r="O70" s="350">
        <v>0</v>
      </c>
      <c r="P70" s="348">
        <v>0</v>
      </c>
    </row>
    <row r="71" spans="6:16" x14ac:dyDescent="0.35">
      <c r="F71" s="311" t="s">
        <v>932</v>
      </c>
      <c r="H71" t="s">
        <v>448</v>
      </c>
      <c r="J71" s="348">
        <v>0</v>
      </c>
      <c r="K71" s="348">
        <v>0</v>
      </c>
      <c r="L71" s="348">
        <v>0</v>
      </c>
      <c r="M71" s="408">
        <v>0</v>
      </c>
      <c r="N71" s="350">
        <v>0</v>
      </c>
      <c r="O71" s="350">
        <v>0</v>
      </c>
      <c r="P71" s="348">
        <v>0</v>
      </c>
    </row>
    <row r="72" spans="6:16" x14ac:dyDescent="0.35">
      <c r="F72" s="311" t="s">
        <v>933</v>
      </c>
      <c r="H72" t="s">
        <v>448</v>
      </c>
      <c r="J72" s="348">
        <v>0</v>
      </c>
      <c r="K72" s="348">
        <v>0</v>
      </c>
      <c r="L72" s="348">
        <v>0</v>
      </c>
      <c r="M72" s="408">
        <v>0</v>
      </c>
      <c r="N72" s="350">
        <v>0</v>
      </c>
      <c r="O72" s="350">
        <v>0</v>
      </c>
      <c r="P72" s="348">
        <v>0</v>
      </c>
    </row>
    <row r="73" spans="6:16" x14ac:dyDescent="0.35">
      <c r="F73" s="311" t="s">
        <v>841</v>
      </c>
      <c r="H73" t="s">
        <v>448</v>
      </c>
      <c r="J73" s="346">
        <v>12.298999999999999</v>
      </c>
      <c r="K73" s="346">
        <v>3.4540000000000002</v>
      </c>
      <c r="L73" s="346">
        <v>2.7709999999999999</v>
      </c>
      <c r="M73" s="390">
        <v>0</v>
      </c>
      <c r="N73" s="347">
        <v>0</v>
      </c>
      <c r="O73" s="347">
        <v>0</v>
      </c>
      <c r="P73" s="346">
        <v>0</v>
      </c>
    </row>
    <row r="74" spans="6:16" x14ac:dyDescent="0.35">
      <c r="F74" s="311" t="s">
        <v>833</v>
      </c>
      <c r="H74" t="s">
        <v>448</v>
      </c>
      <c r="J74" s="346">
        <v>-6.77</v>
      </c>
      <c r="K74" s="346">
        <v>-1.407</v>
      </c>
      <c r="L74" s="346">
        <v>-0.49</v>
      </c>
      <c r="M74" s="390">
        <v>0</v>
      </c>
      <c r="N74" s="347">
        <v>0</v>
      </c>
      <c r="O74" s="347">
        <v>0</v>
      </c>
      <c r="P74" s="346">
        <v>0</v>
      </c>
    </row>
    <row r="75" spans="6:16" x14ac:dyDescent="0.35">
      <c r="F75" s="311" t="s">
        <v>834</v>
      </c>
      <c r="H75" t="s">
        <v>448</v>
      </c>
      <c r="J75" s="348">
        <v>0</v>
      </c>
      <c r="K75" s="348">
        <v>0</v>
      </c>
      <c r="L75" s="348">
        <v>0</v>
      </c>
      <c r="M75" s="408">
        <v>0</v>
      </c>
      <c r="N75" s="350">
        <v>0</v>
      </c>
      <c r="O75" s="350">
        <v>0</v>
      </c>
      <c r="P75" s="348">
        <v>0</v>
      </c>
    </row>
    <row r="76" spans="6:16" x14ac:dyDescent="0.35">
      <c r="F76" s="311" t="s">
        <v>835</v>
      </c>
      <c r="H76" t="s">
        <v>448</v>
      </c>
      <c r="J76" s="346">
        <v>-6.77</v>
      </c>
      <c r="K76" s="346">
        <v>-1.407</v>
      </c>
      <c r="L76" s="346">
        <v>-0.49</v>
      </c>
      <c r="M76" s="390">
        <v>0</v>
      </c>
      <c r="N76" s="347">
        <v>0</v>
      </c>
      <c r="O76" s="347">
        <v>0</v>
      </c>
      <c r="P76" s="346">
        <v>0.28399999999999997</v>
      </c>
    </row>
    <row r="77" spans="6:16" x14ac:dyDescent="0.35">
      <c r="F77" s="311" t="s">
        <v>844</v>
      </c>
      <c r="H77" t="s">
        <v>448</v>
      </c>
      <c r="J77" s="348">
        <v>0</v>
      </c>
      <c r="K77" s="348">
        <v>0</v>
      </c>
      <c r="L77" s="348">
        <v>0</v>
      </c>
      <c r="M77" s="408">
        <v>0</v>
      </c>
      <c r="N77" s="350">
        <v>0</v>
      </c>
      <c r="O77" s="350">
        <v>0</v>
      </c>
      <c r="P77" s="348">
        <v>0</v>
      </c>
    </row>
    <row r="78" spans="6:16" x14ac:dyDescent="0.35">
      <c r="F78" s="311" t="s">
        <v>836</v>
      </c>
      <c r="H78" t="s">
        <v>448</v>
      </c>
      <c r="J78" s="348">
        <v>0</v>
      </c>
      <c r="K78" s="348">
        <v>0</v>
      </c>
      <c r="L78" s="348">
        <v>0</v>
      </c>
      <c r="M78" s="408">
        <v>0</v>
      </c>
      <c r="N78" s="350">
        <v>0</v>
      </c>
      <c r="O78" s="350">
        <v>0</v>
      </c>
      <c r="P78" s="348">
        <v>0</v>
      </c>
    </row>
    <row r="79" spans="6:16" x14ac:dyDescent="0.35">
      <c r="F79" s="311" t="s">
        <v>843</v>
      </c>
      <c r="H79" t="s">
        <v>448</v>
      </c>
      <c r="J79" s="348">
        <v>0</v>
      </c>
      <c r="K79" s="348">
        <v>0</v>
      </c>
      <c r="L79" s="348">
        <v>0</v>
      </c>
      <c r="M79" s="408">
        <v>0</v>
      </c>
      <c r="N79" s="350">
        <v>0</v>
      </c>
      <c r="O79" s="350">
        <v>0</v>
      </c>
      <c r="P79" s="348">
        <v>0</v>
      </c>
    </row>
    <row r="80" spans="6:16" x14ac:dyDescent="0.35">
      <c r="F80" s="311" t="s">
        <v>837</v>
      </c>
      <c r="H80" t="s">
        <v>448</v>
      </c>
      <c r="J80" s="348">
        <v>0</v>
      </c>
      <c r="K80" s="348">
        <v>0</v>
      </c>
      <c r="L80" s="348">
        <v>0</v>
      </c>
      <c r="M80" s="408">
        <v>0</v>
      </c>
      <c r="N80" s="350">
        <v>0</v>
      </c>
      <c r="O80" s="350">
        <v>0</v>
      </c>
      <c r="P80" s="348">
        <v>0</v>
      </c>
    </row>
    <row r="81" spans="4:16" x14ac:dyDescent="0.35">
      <c r="F81" s="37" t="s">
        <v>842</v>
      </c>
      <c r="G81" s="37"/>
      <c r="H81" s="37" t="s">
        <v>448</v>
      </c>
      <c r="I81" s="37"/>
      <c r="J81" s="228">
        <v>0</v>
      </c>
      <c r="K81" s="228">
        <v>0</v>
      </c>
      <c r="L81" s="228">
        <v>0</v>
      </c>
      <c r="M81" s="409">
        <v>0</v>
      </c>
      <c r="N81" s="351">
        <v>0</v>
      </c>
      <c r="O81" s="351">
        <v>0</v>
      </c>
      <c r="P81" s="228">
        <v>0</v>
      </c>
    </row>
    <row r="82" spans="4:16" x14ac:dyDescent="0.35">
      <c r="D82"/>
      <c r="E82"/>
      <c r="M82" s="229"/>
      <c r="N82" s="229"/>
      <c r="O82" s="229"/>
    </row>
    <row r="83" spans="4:16" x14ac:dyDescent="0.35">
      <c r="D83" s="32"/>
      <c r="E83" s="32" t="s">
        <v>807</v>
      </c>
      <c r="M83" s="229"/>
      <c r="N83" s="229"/>
      <c r="O83" s="229"/>
    </row>
    <row r="84" spans="4:16" x14ac:dyDescent="0.35">
      <c r="F84" s="23" t="s">
        <v>913</v>
      </c>
      <c r="G84" s="23"/>
      <c r="H84" s="23" t="s">
        <v>449</v>
      </c>
      <c r="I84" s="23"/>
      <c r="J84" s="220">
        <f t="array" ref="J84:P115">TRANSPOSE(Rounding!J168:AO174)</f>
        <v>4.0940000000000003</v>
      </c>
      <c r="K84" s="220">
        <v>0.85099999999999998</v>
      </c>
      <c r="L84" s="220">
        <v>0.29599999999999999</v>
      </c>
      <c r="M84" s="388">
        <v>18.14</v>
      </c>
      <c r="N84" s="221">
        <v>0</v>
      </c>
      <c r="O84" s="221">
        <v>0</v>
      </c>
      <c r="P84" s="220">
        <v>0</v>
      </c>
    </row>
    <row r="85" spans="4:16" x14ac:dyDescent="0.35">
      <c r="F85" t="s">
        <v>831</v>
      </c>
      <c r="H85" t="s">
        <v>449</v>
      </c>
      <c r="J85" s="222">
        <v>4.0940000000000003</v>
      </c>
      <c r="K85" s="222">
        <v>0.85099999999999998</v>
      </c>
      <c r="L85" s="222">
        <v>0.29599999999999999</v>
      </c>
      <c r="M85" s="389">
        <v>0</v>
      </c>
      <c r="N85" s="223">
        <v>0</v>
      </c>
      <c r="O85" s="223">
        <v>0</v>
      </c>
      <c r="P85" s="222">
        <v>0</v>
      </c>
    </row>
    <row r="86" spans="4:16" x14ac:dyDescent="0.35">
      <c r="F86" t="s">
        <v>914</v>
      </c>
      <c r="H86" t="s">
        <v>449</v>
      </c>
      <c r="J86" s="222">
        <v>4.6980000000000004</v>
      </c>
      <c r="K86" s="222">
        <v>0.97699999999999998</v>
      </c>
      <c r="L86" s="222">
        <v>0.34</v>
      </c>
      <c r="M86" s="389">
        <v>4.87</v>
      </c>
      <c r="N86" s="223">
        <v>0</v>
      </c>
      <c r="O86" s="223">
        <v>0</v>
      </c>
      <c r="P86" s="222">
        <v>0</v>
      </c>
    </row>
    <row r="87" spans="4:16" x14ac:dyDescent="0.35">
      <c r="F87" t="s">
        <v>915</v>
      </c>
      <c r="H87" t="s">
        <v>449</v>
      </c>
      <c r="J87" s="222">
        <v>4.6980000000000004</v>
      </c>
      <c r="K87" s="222">
        <v>0.97699999999999998</v>
      </c>
      <c r="L87" s="222">
        <v>0.34</v>
      </c>
      <c r="M87" s="389">
        <v>6.28</v>
      </c>
      <c r="N87" s="223">
        <v>0</v>
      </c>
      <c r="O87" s="223">
        <v>0</v>
      </c>
      <c r="P87" s="222">
        <v>0</v>
      </c>
    </row>
    <row r="88" spans="4:16" x14ac:dyDescent="0.35">
      <c r="F88" t="s">
        <v>916</v>
      </c>
      <c r="H88" t="s">
        <v>449</v>
      </c>
      <c r="J88" s="222">
        <v>4.6980000000000004</v>
      </c>
      <c r="K88" s="222">
        <v>0.97699999999999998</v>
      </c>
      <c r="L88" s="222">
        <v>0.34</v>
      </c>
      <c r="M88" s="389">
        <v>13.2</v>
      </c>
      <c r="N88" s="223">
        <v>0</v>
      </c>
      <c r="O88" s="223">
        <v>0</v>
      </c>
      <c r="P88" s="222">
        <v>0</v>
      </c>
    </row>
    <row r="89" spans="4:16" x14ac:dyDescent="0.35">
      <c r="F89" t="s">
        <v>917</v>
      </c>
      <c r="H89" t="s">
        <v>449</v>
      </c>
      <c r="J89" s="222">
        <v>4.6980000000000004</v>
      </c>
      <c r="K89" s="222">
        <v>0.97699999999999998</v>
      </c>
      <c r="L89" s="222">
        <v>0.34</v>
      </c>
      <c r="M89" s="389">
        <v>25.41</v>
      </c>
      <c r="N89" s="223">
        <v>0</v>
      </c>
      <c r="O89" s="223">
        <v>0</v>
      </c>
      <c r="P89" s="222">
        <v>0</v>
      </c>
    </row>
    <row r="90" spans="4:16" x14ac:dyDescent="0.35">
      <c r="F90" t="s">
        <v>918</v>
      </c>
      <c r="H90" t="s">
        <v>449</v>
      </c>
      <c r="J90" s="222">
        <v>4.6980000000000004</v>
      </c>
      <c r="K90" s="222">
        <v>0.97699999999999998</v>
      </c>
      <c r="L90" s="222">
        <v>0.34</v>
      </c>
      <c r="M90" s="389">
        <v>72.06</v>
      </c>
      <c r="N90" s="223">
        <v>0</v>
      </c>
      <c r="O90" s="223">
        <v>0</v>
      </c>
      <c r="P90" s="222">
        <v>0</v>
      </c>
    </row>
    <row r="91" spans="4:16" x14ac:dyDescent="0.35">
      <c r="F91" t="s">
        <v>832</v>
      </c>
      <c r="H91" t="s">
        <v>449</v>
      </c>
      <c r="J91" s="222">
        <v>4.6980000000000004</v>
      </c>
      <c r="K91" s="222">
        <v>0.97699999999999998</v>
      </c>
      <c r="L91" s="222">
        <v>0.34</v>
      </c>
      <c r="M91" s="389">
        <v>0</v>
      </c>
      <c r="N91" s="223">
        <v>0</v>
      </c>
      <c r="O91" s="223">
        <v>0</v>
      </c>
      <c r="P91" s="222">
        <v>0</v>
      </c>
    </row>
    <row r="92" spans="4:16" x14ac:dyDescent="0.35">
      <c r="F92" t="s">
        <v>919</v>
      </c>
      <c r="H92" t="s">
        <v>449</v>
      </c>
      <c r="J92" s="222">
        <v>3.3860000000000001</v>
      </c>
      <c r="K92" s="222">
        <v>0.68500000000000005</v>
      </c>
      <c r="L92" s="222">
        <v>0.24</v>
      </c>
      <c r="M92" s="389">
        <v>12.73</v>
      </c>
      <c r="N92" s="223">
        <v>2.5499999999999998</v>
      </c>
      <c r="O92" s="223">
        <v>4.45</v>
      </c>
      <c r="P92" s="222">
        <v>0.13600000000000001</v>
      </c>
    </row>
    <row r="93" spans="4:16" x14ac:dyDescent="0.35">
      <c r="F93" t="s">
        <v>920</v>
      </c>
      <c r="H93" t="s">
        <v>449</v>
      </c>
      <c r="J93" s="222">
        <v>3.3860000000000001</v>
      </c>
      <c r="K93" s="222">
        <v>0.68500000000000005</v>
      </c>
      <c r="L93" s="222">
        <v>0.24</v>
      </c>
      <c r="M93" s="389">
        <v>118.44</v>
      </c>
      <c r="N93" s="223">
        <v>2.5499999999999998</v>
      </c>
      <c r="O93" s="223">
        <v>4.45</v>
      </c>
      <c r="P93" s="222">
        <v>0.13600000000000001</v>
      </c>
    </row>
    <row r="94" spans="4:16" x14ac:dyDescent="0.35">
      <c r="F94" t="s">
        <v>921</v>
      </c>
      <c r="H94" t="s">
        <v>449</v>
      </c>
      <c r="J94" s="222">
        <v>3.3860000000000001</v>
      </c>
      <c r="K94" s="222">
        <v>0.68500000000000005</v>
      </c>
      <c r="L94" s="222">
        <v>0.24</v>
      </c>
      <c r="M94" s="389">
        <v>211.79</v>
      </c>
      <c r="N94" s="223">
        <v>2.5499999999999998</v>
      </c>
      <c r="O94" s="223">
        <v>4.45</v>
      </c>
      <c r="P94" s="222">
        <v>0.13600000000000001</v>
      </c>
    </row>
    <row r="95" spans="4:16" x14ac:dyDescent="0.35">
      <c r="F95" t="s">
        <v>922</v>
      </c>
      <c r="H95" t="s">
        <v>449</v>
      </c>
      <c r="J95" s="222">
        <v>3.3860000000000001</v>
      </c>
      <c r="K95" s="222">
        <v>0.68500000000000005</v>
      </c>
      <c r="L95" s="222">
        <v>0.24</v>
      </c>
      <c r="M95" s="389">
        <v>344.49</v>
      </c>
      <c r="N95" s="223">
        <v>2.5499999999999998</v>
      </c>
      <c r="O95" s="223">
        <v>4.45</v>
      </c>
      <c r="P95" s="222">
        <v>0.13600000000000001</v>
      </c>
    </row>
    <row r="96" spans="4:16" x14ac:dyDescent="0.35">
      <c r="F96" t="s">
        <v>923</v>
      </c>
      <c r="H96" t="s">
        <v>449</v>
      </c>
      <c r="J96" s="222">
        <v>3.3860000000000001</v>
      </c>
      <c r="K96" s="222">
        <v>0.68500000000000005</v>
      </c>
      <c r="L96" s="222">
        <v>0.24</v>
      </c>
      <c r="M96" s="389">
        <v>788.43</v>
      </c>
      <c r="N96" s="223">
        <v>2.5499999999999998</v>
      </c>
      <c r="O96" s="223">
        <v>4.45</v>
      </c>
      <c r="P96" s="222">
        <v>0.13600000000000001</v>
      </c>
    </row>
    <row r="97" spans="6:16" x14ac:dyDescent="0.35">
      <c r="F97" t="s">
        <v>924</v>
      </c>
      <c r="H97" t="s">
        <v>449</v>
      </c>
      <c r="J97" s="222">
        <v>2.5270000000000001</v>
      </c>
      <c r="K97" s="222">
        <v>0.45700000000000002</v>
      </c>
      <c r="L97" s="222">
        <v>0.16600000000000001</v>
      </c>
      <c r="M97" s="389">
        <v>43.09</v>
      </c>
      <c r="N97" s="223">
        <v>5.82</v>
      </c>
      <c r="O97" s="223">
        <v>7.88</v>
      </c>
      <c r="P97" s="222">
        <v>9.2999999999999999E-2</v>
      </c>
    </row>
    <row r="98" spans="6:16" x14ac:dyDescent="0.35">
      <c r="F98" t="s">
        <v>925</v>
      </c>
      <c r="H98" t="s">
        <v>449</v>
      </c>
      <c r="J98" s="222">
        <v>2.5270000000000001</v>
      </c>
      <c r="K98" s="222">
        <v>0.45700000000000002</v>
      </c>
      <c r="L98" s="222">
        <v>0.16600000000000001</v>
      </c>
      <c r="M98" s="389">
        <v>195.7</v>
      </c>
      <c r="N98" s="223">
        <v>5.82</v>
      </c>
      <c r="O98" s="223">
        <v>7.88</v>
      </c>
      <c r="P98" s="222">
        <v>9.2999999999999999E-2</v>
      </c>
    </row>
    <row r="99" spans="6:16" x14ac:dyDescent="0.35">
      <c r="F99" s="311" t="s">
        <v>926</v>
      </c>
      <c r="H99" t="s">
        <v>449</v>
      </c>
      <c r="J99" s="346">
        <v>2.5270000000000001</v>
      </c>
      <c r="K99" s="346">
        <v>0.45700000000000002</v>
      </c>
      <c r="L99" s="346">
        <v>0.16600000000000001</v>
      </c>
      <c r="M99" s="390">
        <v>330.46</v>
      </c>
      <c r="N99" s="347">
        <v>5.82</v>
      </c>
      <c r="O99" s="347">
        <v>7.88</v>
      </c>
      <c r="P99" s="346">
        <v>9.2999999999999999E-2</v>
      </c>
    </row>
    <row r="100" spans="6:16" x14ac:dyDescent="0.35">
      <c r="F100" s="311" t="s">
        <v>927</v>
      </c>
      <c r="H100" t="s">
        <v>449</v>
      </c>
      <c r="J100" s="346">
        <v>2.5270000000000001</v>
      </c>
      <c r="K100" s="346">
        <v>0.45700000000000002</v>
      </c>
      <c r="L100" s="346">
        <v>0.16600000000000001</v>
      </c>
      <c r="M100" s="390">
        <v>522.04</v>
      </c>
      <c r="N100" s="347">
        <v>5.82</v>
      </c>
      <c r="O100" s="347">
        <v>7.88</v>
      </c>
      <c r="P100" s="346">
        <v>9.2999999999999999E-2</v>
      </c>
    </row>
    <row r="101" spans="6:16" x14ac:dyDescent="0.35">
      <c r="F101" s="311" t="s">
        <v>928</v>
      </c>
      <c r="H101" t="s">
        <v>449</v>
      </c>
      <c r="J101" s="346">
        <v>2.5270000000000001</v>
      </c>
      <c r="K101" s="346">
        <v>0.45700000000000002</v>
      </c>
      <c r="L101" s="346">
        <v>0.16600000000000001</v>
      </c>
      <c r="M101" s="390">
        <v>1162.93</v>
      </c>
      <c r="N101" s="347">
        <v>5.82</v>
      </c>
      <c r="O101" s="347">
        <v>7.88</v>
      </c>
      <c r="P101" s="346">
        <v>9.2999999999999999E-2</v>
      </c>
    </row>
    <row r="102" spans="6:16" x14ac:dyDescent="0.35">
      <c r="F102" s="311" t="s">
        <v>929</v>
      </c>
      <c r="H102" t="s">
        <v>449</v>
      </c>
      <c r="J102" s="346">
        <v>1.9330000000000001</v>
      </c>
      <c r="K102" s="346">
        <v>0.33500000000000002</v>
      </c>
      <c r="L102" s="346">
        <v>0.13</v>
      </c>
      <c r="M102" s="390">
        <v>237.6</v>
      </c>
      <c r="N102" s="347">
        <v>8.6</v>
      </c>
      <c r="O102" s="347">
        <v>10.01</v>
      </c>
      <c r="P102" s="346">
        <v>6.9000000000000006E-2</v>
      </c>
    </row>
    <row r="103" spans="6:16" x14ac:dyDescent="0.35">
      <c r="F103" s="311" t="s">
        <v>930</v>
      </c>
      <c r="H103" t="s">
        <v>449</v>
      </c>
      <c r="J103" s="346">
        <v>1.9330000000000001</v>
      </c>
      <c r="K103" s="346">
        <v>0.33500000000000002</v>
      </c>
      <c r="L103" s="346">
        <v>0.13</v>
      </c>
      <c r="M103" s="390">
        <v>547.02</v>
      </c>
      <c r="N103" s="347">
        <v>8.6</v>
      </c>
      <c r="O103" s="347">
        <v>10.01</v>
      </c>
      <c r="P103" s="346">
        <v>6.9000000000000006E-2</v>
      </c>
    </row>
    <row r="104" spans="6:16" x14ac:dyDescent="0.35">
      <c r="F104" s="311" t="s">
        <v>931</v>
      </c>
      <c r="H104" t="s">
        <v>449</v>
      </c>
      <c r="J104" s="346">
        <v>1.9330000000000001</v>
      </c>
      <c r="K104" s="346">
        <v>0.33500000000000002</v>
      </c>
      <c r="L104" s="346">
        <v>0.13</v>
      </c>
      <c r="M104" s="390">
        <v>2645.49</v>
      </c>
      <c r="N104" s="347">
        <v>8.6</v>
      </c>
      <c r="O104" s="347">
        <v>10.01</v>
      </c>
      <c r="P104" s="346">
        <v>6.9000000000000006E-2</v>
      </c>
    </row>
    <row r="105" spans="6:16" x14ac:dyDescent="0.35">
      <c r="F105" s="311" t="s">
        <v>932</v>
      </c>
      <c r="H105" t="s">
        <v>449</v>
      </c>
      <c r="J105" s="346">
        <v>1.9330000000000001</v>
      </c>
      <c r="K105" s="346">
        <v>0.33500000000000002</v>
      </c>
      <c r="L105" s="346">
        <v>0.13</v>
      </c>
      <c r="M105" s="390">
        <v>5416.78</v>
      </c>
      <c r="N105" s="347">
        <v>8.6</v>
      </c>
      <c r="O105" s="347">
        <v>10.01</v>
      </c>
      <c r="P105" s="346">
        <v>6.9000000000000006E-2</v>
      </c>
    </row>
    <row r="106" spans="6:16" x14ac:dyDescent="0.35">
      <c r="F106" s="311" t="s">
        <v>933</v>
      </c>
      <c r="H106" t="s">
        <v>449</v>
      </c>
      <c r="J106" s="346">
        <v>1.9330000000000001</v>
      </c>
      <c r="K106" s="346">
        <v>0.33500000000000002</v>
      </c>
      <c r="L106" s="346">
        <v>0.13</v>
      </c>
      <c r="M106" s="390">
        <v>11611.58</v>
      </c>
      <c r="N106" s="347">
        <v>8.6</v>
      </c>
      <c r="O106" s="347">
        <v>10.01</v>
      </c>
      <c r="P106" s="346">
        <v>6.9000000000000006E-2</v>
      </c>
    </row>
    <row r="107" spans="6:16" x14ac:dyDescent="0.35">
      <c r="F107" s="311" t="s">
        <v>841</v>
      </c>
      <c r="H107" t="s">
        <v>449</v>
      </c>
      <c r="J107" s="346">
        <v>8.14</v>
      </c>
      <c r="K107" s="346">
        <v>2.286</v>
      </c>
      <c r="L107" s="346">
        <v>1.8340000000000001</v>
      </c>
      <c r="M107" s="390">
        <v>0</v>
      </c>
      <c r="N107" s="347">
        <v>0</v>
      </c>
      <c r="O107" s="347">
        <v>0</v>
      </c>
      <c r="P107" s="346">
        <v>0</v>
      </c>
    </row>
    <row r="108" spans="6:16" x14ac:dyDescent="0.35">
      <c r="F108" s="311" t="s">
        <v>833</v>
      </c>
      <c r="H108" t="s">
        <v>449</v>
      </c>
      <c r="J108" s="346">
        <v>-6.77</v>
      </c>
      <c r="K108" s="346">
        <v>-1.407</v>
      </c>
      <c r="L108" s="346">
        <v>-0.49</v>
      </c>
      <c r="M108" s="390">
        <v>0</v>
      </c>
      <c r="N108" s="347">
        <v>0</v>
      </c>
      <c r="O108" s="347">
        <v>0</v>
      </c>
      <c r="P108" s="346">
        <v>0</v>
      </c>
    </row>
    <row r="109" spans="6:16" x14ac:dyDescent="0.35">
      <c r="F109" s="311" t="s">
        <v>834</v>
      </c>
      <c r="H109" t="s">
        <v>449</v>
      </c>
      <c r="J109" s="346">
        <v>-6.0629999999999997</v>
      </c>
      <c r="K109" s="346">
        <v>-1.246</v>
      </c>
      <c r="L109" s="346">
        <v>-0.435</v>
      </c>
      <c r="M109" s="390">
        <v>0</v>
      </c>
      <c r="N109" s="347">
        <v>0</v>
      </c>
      <c r="O109" s="347">
        <v>0</v>
      </c>
      <c r="P109" s="346">
        <v>0</v>
      </c>
    </row>
    <row r="110" spans="6:16" x14ac:dyDescent="0.35">
      <c r="F110" s="311" t="s">
        <v>835</v>
      </c>
      <c r="H110" t="s">
        <v>449</v>
      </c>
      <c r="J110" s="346">
        <v>-6.77</v>
      </c>
      <c r="K110" s="346">
        <v>-1.407</v>
      </c>
      <c r="L110" s="346">
        <v>-0.49</v>
      </c>
      <c r="M110" s="390">
        <v>0</v>
      </c>
      <c r="N110" s="347">
        <v>0</v>
      </c>
      <c r="O110" s="347">
        <v>0</v>
      </c>
      <c r="P110" s="346">
        <v>0.28399999999999997</v>
      </c>
    </row>
    <row r="111" spans="6:16" x14ac:dyDescent="0.35">
      <c r="F111" s="311" t="s">
        <v>844</v>
      </c>
      <c r="H111" t="s">
        <v>449</v>
      </c>
      <c r="J111" s="348">
        <v>0</v>
      </c>
      <c r="K111" s="348">
        <v>0</v>
      </c>
      <c r="L111" s="348">
        <v>0</v>
      </c>
      <c r="M111" s="408">
        <v>0</v>
      </c>
      <c r="N111" s="350">
        <v>0</v>
      </c>
      <c r="O111" s="350">
        <v>0</v>
      </c>
      <c r="P111" s="348">
        <v>0</v>
      </c>
    </row>
    <row r="112" spans="6:16" x14ac:dyDescent="0.35">
      <c r="F112" s="311" t="s">
        <v>836</v>
      </c>
      <c r="H112" t="s">
        <v>449</v>
      </c>
      <c r="J112" s="346">
        <v>-6.0629999999999997</v>
      </c>
      <c r="K112" s="346">
        <v>-1.246</v>
      </c>
      <c r="L112" s="346">
        <v>-0.435</v>
      </c>
      <c r="M112" s="390">
        <v>0</v>
      </c>
      <c r="N112" s="347">
        <v>0</v>
      </c>
      <c r="O112" s="347">
        <v>0</v>
      </c>
      <c r="P112" s="346">
        <v>0.23799999999999999</v>
      </c>
    </row>
    <row r="113" spans="2:19" x14ac:dyDescent="0.35">
      <c r="F113" s="311" t="s">
        <v>843</v>
      </c>
      <c r="H113" t="s">
        <v>449</v>
      </c>
      <c r="J113" s="348">
        <v>0</v>
      </c>
      <c r="K113" s="348">
        <v>0</v>
      </c>
      <c r="L113" s="348">
        <v>0</v>
      </c>
      <c r="M113" s="408">
        <v>0</v>
      </c>
      <c r="N113" s="350">
        <v>0</v>
      </c>
      <c r="O113" s="350">
        <v>0</v>
      </c>
      <c r="P113" s="348">
        <v>0</v>
      </c>
    </row>
    <row r="114" spans="2:19" x14ac:dyDescent="0.35">
      <c r="F114" s="311" t="s">
        <v>837</v>
      </c>
      <c r="H114" t="s">
        <v>449</v>
      </c>
      <c r="J114" s="346">
        <v>-3.399</v>
      </c>
      <c r="K114" s="346">
        <v>-0.61499999999999999</v>
      </c>
      <c r="L114" s="346">
        <v>-0.224</v>
      </c>
      <c r="M114" s="390">
        <v>0</v>
      </c>
      <c r="N114" s="347">
        <v>0</v>
      </c>
      <c r="O114" s="347">
        <v>0</v>
      </c>
      <c r="P114" s="346">
        <v>0.216</v>
      </c>
    </row>
    <row r="115" spans="2:19" x14ac:dyDescent="0.35">
      <c r="F115" s="37" t="s">
        <v>842</v>
      </c>
      <c r="G115" s="37"/>
      <c r="H115" s="37" t="s">
        <v>449</v>
      </c>
      <c r="I115" s="37"/>
      <c r="J115" s="228">
        <v>0</v>
      </c>
      <c r="K115" s="228">
        <v>0</v>
      </c>
      <c r="L115" s="228">
        <v>0</v>
      </c>
      <c r="M115" s="409">
        <v>0</v>
      </c>
      <c r="N115" s="351">
        <v>0</v>
      </c>
      <c r="O115" s="351">
        <v>0</v>
      </c>
      <c r="P115" s="228">
        <v>0</v>
      </c>
    </row>
    <row r="116" spans="2:19" x14ac:dyDescent="0.35">
      <c r="D116" s="32"/>
      <c r="E116" s="32"/>
      <c r="F116" s="32"/>
      <c r="G116" s="32"/>
      <c r="H116" s="32"/>
      <c r="I116" s="32"/>
      <c r="J116" s="32"/>
      <c r="K116" s="32"/>
      <c r="L116" s="32"/>
      <c r="M116" s="230"/>
      <c r="N116" s="230"/>
      <c r="O116" s="230"/>
      <c r="P116" s="32"/>
      <c r="Q116" s="32"/>
      <c r="R116" s="32"/>
      <c r="S116" s="32"/>
    </row>
    <row r="117" spans="2:19" x14ac:dyDescent="0.35">
      <c r="B117" s="30" t="s">
        <v>231</v>
      </c>
      <c r="C117" s="30"/>
      <c r="D117" s="30"/>
      <c r="E117" s="30"/>
      <c r="F117" s="30"/>
      <c r="G117" s="30"/>
      <c r="H117" s="30"/>
      <c r="I117" s="30"/>
      <c r="J117" s="30"/>
      <c r="K117" s="30"/>
      <c r="L117" s="104"/>
      <c r="M117" s="231"/>
      <c r="N117" s="231"/>
      <c r="O117" s="231"/>
      <c r="P117" s="104"/>
      <c r="Q117" s="104"/>
      <c r="R117" s="104"/>
    </row>
    <row r="118" spans="2:19" x14ac:dyDescent="0.35">
      <c r="M118" s="229"/>
      <c r="N118" s="229"/>
      <c r="O118" s="229"/>
    </row>
    <row r="119" spans="2:19" x14ac:dyDescent="0.35">
      <c r="D119"/>
      <c r="E119" t="s">
        <v>232</v>
      </c>
      <c r="G119" s="6" t="s">
        <v>55</v>
      </c>
      <c r="H119" s="103">
        <f t="array" ref="H119">SUM(IF(ISERROR(J16:P99), 1))</f>
        <v>0</v>
      </c>
      <c r="M119" s="229"/>
      <c r="N119" s="229"/>
      <c r="O119" s="229"/>
    </row>
    <row r="120" spans="2:19" x14ac:dyDescent="0.35">
      <c r="M120" s="229"/>
      <c r="N120" s="229"/>
      <c r="O120" s="229"/>
    </row>
    <row r="121" spans="2:19" x14ac:dyDescent="0.35">
      <c r="B121" s="30" t="s">
        <v>106</v>
      </c>
      <c r="C121" s="30"/>
      <c r="D121" s="30"/>
      <c r="E121" s="30"/>
      <c r="F121" s="30"/>
      <c r="G121" s="30"/>
      <c r="H121" s="30"/>
      <c r="I121" s="30"/>
      <c r="J121" s="30"/>
      <c r="K121" s="30"/>
      <c r="L121" s="104"/>
      <c r="M121" s="231"/>
      <c r="N121" s="231"/>
      <c r="O121" s="231"/>
      <c r="P121" s="104"/>
      <c r="Q121" s="104"/>
      <c r="R121" s="104"/>
    </row>
    <row r="122" spans="2:19" x14ac:dyDescent="0.35">
      <c r="M122" s="229"/>
      <c r="N122" s="229"/>
      <c r="O122" s="229"/>
    </row>
    <row r="123" spans="2:19" x14ac:dyDescent="0.35">
      <c r="D123"/>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4.5" x14ac:dyDescent="0.35"/>
  <cols>
    <col min="1" max="3" width="2.54296875" customWidth="1"/>
    <col min="4" max="5" width="2.54296875" style="2" customWidth="1"/>
    <col min="6" max="6" width="59.54296875" customWidth="1"/>
    <col min="7" max="8" width="20.54296875" customWidth="1"/>
    <col min="9" max="9" width="2.453125" customWidth="1"/>
    <col min="10" max="38" width="17" customWidth="1"/>
    <col min="39" max="39" width="2.453125" customWidth="1"/>
    <col min="40" max="40" width="50.54296875" customWidth="1"/>
    <col min="41" max="41" width="2.453125" customWidth="1"/>
    <col min="42" max="44" width="17" hidden="1" customWidth="1"/>
    <col min="45" max="45" width="2.453125" hidden="1" customWidth="1"/>
    <col min="46" max="46" width="18.453125" hidden="1" customWidth="1"/>
    <col min="47" max="47" width="4.453125" hidden="1" customWidth="1"/>
    <col min="48" max="300" width="24.54296875" hidden="1" customWidth="1"/>
    <col min="301" max="16384" width="8.54296875" hidden="1"/>
  </cols>
  <sheetData>
    <row r="1" spans="1:40" s="1" customFormat="1" x14ac:dyDescent="0.35">
      <c r="A1" s="1" t="str">
        <f ca="1">MID(CELL("filename",A1),FIND("]",CELL("filename",A1))+1,255)</f>
        <v>Output to other models</v>
      </c>
    </row>
    <row r="2" spans="1:40" s="1" customFormat="1" x14ac:dyDescent="0.35">
      <c r="A2" s="1" t="str">
        <f>Cover!D21&amp;" - "&amp;Cover!D23</f>
        <v>Scottish Hydro Electric Power Distribution plc - Final_V1.1 (Updated 31-01-22)</v>
      </c>
    </row>
    <row r="3" spans="1:40" s="5" customFormat="1" x14ac:dyDescent="0.35">
      <c r="A3" s="5" t="str">
        <f>Cover!D2&amp;" - "&amp;Cover!D8&amp;" v"&amp;Cover!D10&amp;" - "&amp;Cover!D19</f>
        <v>CDCM charging model - Release for charge setting v7 - 2022/23</v>
      </c>
    </row>
    <row r="4" spans="1:40" x14ac:dyDescent="0.35">
      <c r="A4" s="12" t="str">
        <f>H78 &amp; IF(H78 = 1, " issue", " issues") &amp;" identified in checks on this sheet"</f>
        <v>0 issues identified in checks on this sheet</v>
      </c>
      <c r="B4" s="13"/>
      <c r="C4" s="13"/>
      <c r="D4" s="13"/>
      <c r="E4" s="13"/>
      <c r="F4" s="13"/>
      <c r="G4" s="13"/>
      <c r="H4" s="14"/>
      <c r="I4" s="14"/>
      <c r="J4" s="13"/>
    </row>
    <row r="5" spans="1:40" x14ac:dyDescent="0.35">
      <c r="B5" s="59" t="s">
        <v>142</v>
      </c>
      <c r="C5" s="60"/>
      <c r="D5" s="60"/>
      <c r="E5" s="60"/>
      <c r="F5" s="60"/>
      <c r="G5" s="61" t="s">
        <v>143</v>
      </c>
      <c r="H5" s="93" t="s">
        <v>144</v>
      </c>
      <c r="AN5" s="61" t="s">
        <v>145</v>
      </c>
    </row>
    <row r="7" spans="1:40" x14ac:dyDescent="0.35">
      <c r="B7" s="30" t="s">
        <v>10</v>
      </c>
      <c r="C7" s="30"/>
      <c r="D7" s="30"/>
      <c r="E7" s="30"/>
      <c r="F7" s="30"/>
      <c r="G7" s="30"/>
      <c r="H7" s="30"/>
      <c r="I7" s="30"/>
      <c r="J7" s="30"/>
      <c r="K7" s="3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row>
    <row r="9" spans="1:40" x14ac:dyDescent="0.35">
      <c r="C9" s="29" t="s">
        <v>808</v>
      </c>
      <c r="E9"/>
    </row>
    <row r="10" spans="1:40" x14ac:dyDescent="0.35">
      <c r="C10" s="29" t="s">
        <v>809</v>
      </c>
      <c r="E10"/>
    </row>
    <row r="12" spans="1:40" x14ac:dyDescent="0.35">
      <c r="B12" s="30" t="s">
        <v>810</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4" spans="1:40" x14ac:dyDescent="0.3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6" spans="1:40" x14ac:dyDescent="0.35">
      <c r="D16" s="29" t="s">
        <v>811</v>
      </c>
      <c r="E16"/>
    </row>
    <row r="17" spans="2:40" x14ac:dyDescent="0.35">
      <c r="D17" s="29"/>
      <c r="E17"/>
    </row>
    <row r="18" spans="2:40" x14ac:dyDescent="0.35">
      <c r="E18" s="32" t="s">
        <v>812</v>
      </c>
    </row>
    <row r="19" spans="2:40" x14ac:dyDescent="0.35">
      <c r="F19" s="64" t="s">
        <v>192</v>
      </c>
      <c r="G19" s="23" t="s">
        <v>277</v>
      </c>
      <c r="H19" s="232">
        <f t="array" ref="H19:H23">TRANSPOSE('Unit costs'!L108:P108)</f>
        <v>0</v>
      </c>
    </row>
    <row r="20" spans="2:40" x14ac:dyDescent="0.35">
      <c r="E20"/>
      <c r="F20" s="28" t="s">
        <v>193</v>
      </c>
      <c r="G20" t="s">
        <v>277</v>
      </c>
      <c r="H20" s="233">
        <v>0</v>
      </c>
    </row>
    <row r="21" spans="2:40" x14ac:dyDescent="0.35">
      <c r="E21"/>
      <c r="F21" s="28" t="s">
        <v>194</v>
      </c>
      <c r="G21" t="s">
        <v>277</v>
      </c>
      <c r="H21" s="233">
        <v>174330836.21449617</v>
      </c>
    </row>
    <row r="22" spans="2:40" x14ac:dyDescent="0.35">
      <c r="E22"/>
      <c r="F22" s="28" t="s">
        <v>195</v>
      </c>
      <c r="G22" t="s">
        <v>277</v>
      </c>
      <c r="H22" s="233">
        <v>190955485.34882891</v>
      </c>
    </row>
    <row r="23" spans="2:40" x14ac:dyDescent="0.35">
      <c r="E23"/>
      <c r="F23" s="67" t="s">
        <v>196</v>
      </c>
      <c r="G23" s="37" t="s">
        <v>277</v>
      </c>
      <c r="H23" s="234">
        <v>0</v>
      </c>
    </row>
    <row r="25" spans="2:40" x14ac:dyDescent="0.35">
      <c r="B25" s="30" t="s">
        <v>813</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row>
    <row r="27" spans="2:40" x14ac:dyDescent="0.3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row>
    <row r="29" spans="2:40" x14ac:dyDescent="0.35">
      <c r="D29" s="29" t="s">
        <v>901</v>
      </c>
      <c r="E29"/>
    </row>
    <row r="31" spans="2:40" ht="43.5" x14ac:dyDescent="0.35">
      <c r="C31" s="235"/>
      <c r="E31" s="32" t="s">
        <v>814</v>
      </c>
      <c r="J31" s="236" t="s">
        <v>913</v>
      </c>
      <c r="K31" s="236" t="s">
        <v>831</v>
      </c>
      <c r="L31" s="236" t="s">
        <v>914</v>
      </c>
      <c r="M31" s="236" t="s">
        <v>915</v>
      </c>
      <c r="N31" s="236" t="s">
        <v>916</v>
      </c>
      <c r="O31" s="236" t="s">
        <v>917</v>
      </c>
      <c r="P31" s="236" t="s">
        <v>918</v>
      </c>
      <c r="Q31" s="236" t="s">
        <v>832</v>
      </c>
      <c r="R31" s="236" t="s">
        <v>919</v>
      </c>
      <c r="S31" s="236" t="s">
        <v>920</v>
      </c>
      <c r="T31" s="236" t="s">
        <v>921</v>
      </c>
      <c r="U31" s="236" t="s">
        <v>922</v>
      </c>
      <c r="V31" s="236" t="s">
        <v>923</v>
      </c>
      <c r="W31" s="236" t="s">
        <v>924</v>
      </c>
      <c r="X31" s="236" t="s">
        <v>925</v>
      </c>
      <c r="Y31" s="236" t="s">
        <v>926</v>
      </c>
      <c r="Z31" s="236" t="s">
        <v>927</v>
      </c>
      <c r="AA31" s="236" t="s">
        <v>928</v>
      </c>
      <c r="AB31" s="236" t="s">
        <v>929</v>
      </c>
      <c r="AC31" s="236" t="s">
        <v>930</v>
      </c>
      <c r="AD31" s="236" t="s">
        <v>931</v>
      </c>
      <c r="AE31" s="236" t="s">
        <v>932</v>
      </c>
      <c r="AF31" s="236" t="s">
        <v>933</v>
      </c>
      <c r="AG31" s="236" t="s">
        <v>841</v>
      </c>
      <c r="AH31" s="236" t="s">
        <v>833</v>
      </c>
      <c r="AI31" s="236" t="s">
        <v>834</v>
      </c>
      <c r="AJ31" s="236" t="s">
        <v>835</v>
      </c>
      <c r="AK31" s="236" t="s">
        <v>836</v>
      </c>
      <c r="AL31" s="236" t="s">
        <v>837</v>
      </c>
    </row>
    <row r="32" spans="2:40" x14ac:dyDescent="0.35">
      <c r="C32" s="235"/>
      <c r="D32"/>
      <c r="F32" s="237" t="s">
        <v>156</v>
      </c>
      <c r="G32" s="237" t="s">
        <v>269</v>
      </c>
      <c r="H32" s="266" t="s">
        <v>773</v>
      </c>
      <c r="I32" s="266"/>
      <c r="J32" s="285">
        <f>Rounding!J110</f>
        <v>8.7578868905519336</v>
      </c>
      <c r="K32" s="285">
        <f>Rounding!K110</f>
        <v>8.7578868905519336</v>
      </c>
      <c r="L32" s="285">
        <f>Rounding!L110</f>
        <v>10.049981004930144</v>
      </c>
      <c r="M32" s="285">
        <f>Rounding!M110</f>
        <v>10.049981004930144</v>
      </c>
      <c r="N32" s="285">
        <f>Rounding!N110</f>
        <v>10.049981004930144</v>
      </c>
      <c r="O32" s="285">
        <f>Rounding!O110</f>
        <v>10.049981004930144</v>
      </c>
      <c r="P32" s="285">
        <f>Rounding!P110</f>
        <v>10.049981004930144</v>
      </c>
      <c r="Q32" s="285">
        <f>Rounding!Q110</f>
        <v>10.049981004930144</v>
      </c>
      <c r="R32" s="285">
        <f>Rounding!R110</f>
        <v>7.2439851323805975</v>
      </c>
      <c r="S32" s="285">
        <f>Rounding!S110</f>
        <v>7.2439851323805975</v>
      </c>
      <c r="T32" s="285">
        <f>Rounding!T110</f>
        <v>7.2439851323805975</v>
      </c>
      <c r="U32" s="285">
        <f>Rounding!U110</f>
        <v>7.2439851323805975</v>
      </c>
      <c r="V32" s="285">
        <f>Rounding!V110</f>
        <v>7.2439851323805975</v>
      </c>
      <c r="W32" s="285">
        <f>Rounding!W110</f>
        <v>3.7452920159350667</v>
      </c>
      <c r="X32" s="285">
        <f>Rounding!X110</f>
        <v>3.7452920159350667</v>
      </c>
      <c r="Y32" s="285">
        <f>Rounding!Y110</f>
        <v>3.7452920159350667</v>
      </c>
      <c r="Z32" s="285">
        <f>Rounding!Z110</f>
        <v>3.7452920159350667</v>
      </c>
      <c r="AA32" s="285">
        <f>Rounding!AA110</f>
        <v>3.7452920159350667</v>
      </c>
      <c r="AB32" s="285">
        <f>Rounding!AB110</f>
        <v>2.6202382291421182</v>
      </c>
      <c r="AC32" s="285">
        <f>Rounding!AC110</f>
        <v>2.6202382291421182</v>
      </c>
      <c r="AD32" s="285">
        <f>Rounding!AD110</f>
        <v>2.6202382291421182</v>
      </c>
      <c r="AE32" s="285">
        <f>Rounding!AE110</f>
        <v>2.6202382291421182</v>
      </c>
      <c r="AF32" s="285">
        <f>Rounding!AF110</f>
        <v>2.6202382291421182</v>
      </c>
      <c r="AG32" s="285">
        <f>Rounding!AG110</f>
        <v>17.413948956425816</v>
      </c>
      <c r="AH32" s="285">
        <f>Rounding!AH110</f>
        <v>-6.7703858572355928</v>
      </c>
      <c r="AI32" s="285">
        <f>Rounding!AI110</f>
        <v>-6.0634483873977167</v>
      </c>
      <c r="AJ32" s="285">
        <f>Rounding!AJ110</f>
        <v>-6.7703858572355928</v>
      </c>
      <c r="AK32" s="285">
        <f>Rounding!AL110</f>
        <v>-6.0634483873977167</v>
      </c>
      <c r="AL32" s="285">
        <f>Rounding!AN110</f>
        <v>-3.3990502940098173</v>
      </c>
    </row>
    <row r="33" spans="3:40" x14ac:dyDescent="0.35">
      <c r="C33" s="235"/>
      <c r="D33"/>
      <c r="F33" s="238" t="s">
        <v>157</v>
      </c>
      <c r="G33" s="238" t="s">
        <v>269</v>
      </c>
      <c r="H33" s="267" t="s">
        <v>773</v>
      </c>
      <c r="I33" s="267"/>
      <c r="J33" s="380">
        <f>Rounding!J111</f>
        <v>1.8206397762951982</v>
      </c>
      <c r="K33" s="380">
        <f>Rounding!K111</f>
        <v>1.8206397762951982</v>
      </c>
      <c r="L33" s="380">
        <f>Rounding!L111</f>
        <v>2.089247714346067</v>
      </c>
      <c r="M33" s="380">
        <f>Rounding!M111</f>
        <v>2.089247714346067</v>
      </c>
      <c r="N33" s="380">
        <f>Rounding!N111</f>
        <v>2.089247714346067</v>
      </c>
      <c r="O33" s="380">
        <f>Rounding!O111</f>
        <v>2.089247714346067</v>
      </c>
      <c r="P33" s="380">
        <f>Rounding!P111</f>
        <v>2.089247714346067</v>
      </c>
      <c r="Q33" s="380">
        <f>Rounding!Q111</f>
        <v>2.089247714346067</v>
      </c>
      <c r="R33" s="380">
        <f>Rounding!R111</f>
        <v>1.4663018872883582</v>
      </c>
      <c r="S33" s="380">
        <f>Rounding!S111</f>
        <v>1.4663018872883582</v>
      </c>
      <c r="T33" s="380">
        <f>Rounding!T111</f>
        <v>1.4663018872883582</v>
      </c>
      <c r="U33" s="380">
        <f>Rounding!U111</f>
        <v>1.4663018872883582</v>
      </c>
      <c r="V33" s="380">
        <f>Rounding!V111</f>
        <v>1.4663018872883582</v>
      </c>
      <c r="W33" s="380">
        <f>Rounding!W111</f>
        <v>0.67783233276690069</v>
      </c>
      <c r="X33" s="380">
        <f>Rounding!X111</f>
        <v>0.67783233276690069</v>
      </c>
      <c r="Y33" s="380">
        <f>Rounding!Y111</f>
        <v>0.67783233276690069</v>
      </c>
      <c r="Z33" s="380">
        <f>Rounding!Z111</f>
        <v>0.67783233276690069</v>
      </c>
      <c r="AA33" s="380">
        <f>Rounding!AA111</f>
        <v>0.67783233276690069</v>
      </c>
      <c r="AB33" s="380">
        <f>Rounding!AB111</f>
        <v>0.45455208805206132</v>
      </c>
      <c r="AC33" s="380">
        <f>Rounding!AC111</f>
        <v>0.45455208805206132</v>
      </c>
      <c r="AD33" s="380">
        <f>Rounding!AD111</f>
        <v>0.45455208805206132</v>
      </c>
      <c r="AE33" s="380">
        <f>Rounding!AE111</f>
        <v>0.45455208805206132</v>
      </c>
      <c r="AF33" s="380">
        <f>Rounding!AF111</f>
        <v>0.45455208805206132</v>
      </c>
      <c r="AG33" s="380">
        <f>Rounding!AG111</f>
        <v>4.8899293298786448</v>
      </c>
      <c r="AH33" s="380">
        <f>Rounding!AH111</f>
        <v>-1.4074666579500381</v>
      </c>
      <c r="AI33" s="380">
        <f>Rounding!AI111</f>
        <v>-1.2460008567520371</v>
      </c>
      <c r="AJ33" s="380">
        <f>Rounding!AJ111</f>
        <v>-1.4074666579500381</v>
      </c>
      <c r="AK33" s="380">
        <f>Rounding!AL111</f>
        <v>-1.2460008567520371</v>
      </c>
      <c r="AL33" s="380">
        <f>Rounding!AN111</f>
        <v>-0.61509915250322988</v>
      </c>
    </row>
    <row r="34" spans="3:40" x14ac:dyDescent="0.35">
      <c r="C34" s="235"/>
      <c r="D34"/>
      <c r="F34" s="238" t="s">
        <v>158</v>
      </c>
      <c r="G34" s="238" t="s">
        <v>269</v>
      </c>
      <c r="H34" s="267" t="s">
        <v>773</v>
      </c>
      <c r="I34" s="267"/>
      <c r="J34" s="380">
        <f>Rounding!J112</f>
        <v>0.63370675863757786</v>
      </c>
      <c r="K34" s="380">
        <f>Rounding!K112</f>
        <v>0.63370675863757786</v>
      </c>
      <c r="L34" s="380">
        <f>Rounding!L112</f>
        <v>0.72720063259485002</v>
      </c>
      <c r="M34" s="380">
        <f>Rounding!M112</f>
        <v>0.72720063259485002</v>
      </c>
      <c r="N34" s="380">
        <f>Rounding!N112</f>
        <v>0.72720063259485002</v>
      </c>
      <c r="O34" s="380">
        <f>Rounding!O112</f>
        <v>0.72720063259485002</v>
      </c>
      <c r="P34" s="380">
        <f>Rounding!P112</f>
        <v>0.72720063259485002</v>
      </c>
      <c r="Q34" s="380">
        <f>Rounding!Q112</f>
        <v>0.72720063259485002</v>
      </c>
      <c r="R34" s="380">
        <f>Rounding!R112</f>
        <v>0.51447803021364991</v>
      </c>
      <c r="S34" s="380">
        <f>Rounding!S112</f>
        <v>0.51447803021364991</v>
      </c>
      <c r="T34" s="380">
        <f>Rounding!T112</f>
        <v>0.51447803021364991</v>
      </c>
      <c r="U34" s="380">
        <f>Rounding!U112</f>
        <v>0.51447803021364991</v>
      </c>
      <c r="V34" s="380">
        <f>Rounding!V112</f>
        <v>0.51447803021364991</v>
      </c>
      <c r="W34" s="380">
        <f>Rounding!W112</f>
        <v>0.24637179623668531</v>
      </c>
      <c r="X34" s="380">
        <f>Rounding!X112</f>
        <v>0.24637179623668531</v>
      </c>
      <c r="Y34" s="380">
        <f>Rounding!Y112</f>
        <v>0.24637179623668531</v>
      </c>
      <c r="Z34" s="380">
        <f>Rounding!Z112</f>
        <v>0.24637179623668531</v>
      </c>
      <c r="AA34" s="380">
        <f>Rounding!AA112</f>
        <v>0.24637179623668531</v>
      </c>
      <c r="AB34" s="380">
        <f>Rounding!AB112</f>
        <v>0.1764399618541925</v>
      </c>
      <c r="AC34" s="380">
        <f>Rounding!AC112</f>
        <v>0.1764399618541925</v>
      </c>
      <c r="AD34" s="380">
        <f>Rounding!AD112</f>
        <v>0.1764399618541925</v>
      </c>
      <c r="AE34" s="380">
        <f>Rounding!AE112</f>
        <v>0.1764399618541925</v>
      </c>
      <c r="AF34" s="380">
        <f>Rounding!AF112</f>
        <v>0.1764399618541925</v>
      </c>
      <c r="AG34" s="380">
        <f>Rounding!AG112</f>
        <v>3.9227644188572572</v>
      </c>
      <c r="AH34" s="380">
        <f>Rounding!AH112</f>
        <v>-0.48989434665375964</v>
      </c>
      <c r="AI34" s="380">
        <f>Rounding!AI112</f>
        <v>-0.43519597745109795</v>
      </c>
      <c r="AJ34" s="380">
        <f>Rounding!AJ112</f>
        <v>-0.48989434665375964</v>
      </c>
      <c r="AK34" s="380">
        <f>Rounding!AL112</f>
        <v>-0.43519597745109795</v>
      </c>
      <c r="AL34" s="380">
        <f>Rounding!AN112</f>
        <v>-0.22360981889651921</v>
      </c>
    </row>
    <row r="35" spans="3:40" x14ac:dyDescent="0.35">
      <c r="C35" s="235"/>
      <c r="D35"/>
      <c r="F35" s="238" t="s">
        <v>159</v>
      </c>
      <c r="G35" s="238" t="s">
        <v>270</v>
      </c>
      <c r="H35" t="s">
        <v>773</v>
      </c>
      <c r="J35" s="381">
        <f>Rounding!J113</f>
        <v>17.585645820730385</v>
      </c>
      <c r="K35" s="381">
        <f>Rounding!K113</f>
        <v>0</v>
      </c>
      <c r="L35" s="381">
        <f>Rounding!L113</f>
        <v>10.32111579724789</v>
      </c>
      <c r="M35" s="381">
        <f>Rounding!M113</f>
        <v>13.329446230569367</v>
      </c>
      <c r="N35" s="381">
        <f>Rounding!N113</f>
        <v>28.122847123270674</v>
      </c>
      <c r="O35" s="381">
        <f>Rounding!O113</f>
        <v>54.249443278200239</v>
      </c>
      <c r="P35" s="381">
        <f>Rounding!P113</f>
        <v>154.05507235314738</v>
      </c>
      <c r="Q35" s="381">
        <f>Rounding!Q113</f>
        <v>0</v>
      </c>
      <c r="R35" s="381">
        <f>Rounding!R113</f>
        <v>27.1234520849282</v>
      </c>
      <c r="S35" s="381">
        <f>Rounding!S113</f>
        <v>253.28359988951397</v>
      </c>
      <c r="T35" s="381">
        <f>Rounding!T113</f>
        <v>452.98104946796718</v>
      </c>
      <c r="U35" s="381">
        <f>Rounding!U113</f>
        <v>736.88115153175158</v>
      </c>
      <c r="V35" s="381">
        <f>Rounding!V113</f>
        <v>1686.611470600626</v>
      </c>
      <c r="W35" s="381">
        <f>Rounding!W113</f>
        <v>63.777155343839667</v>
      </c>
      <c r="X35" s="381">
        <f>Rounding!X113</f>
        <v>289.93730314842549</v>
      </c>
      <c r="Y35" s="381">
        <f>Rounding!Y113</f>
        <v>489.63475272687879</v>
      </c>
      <c r="Z35" s="381">
        <f>Rounding!Z113</f>
        <v>773.53485479066308</v>
      </c>
      <c r="AA35" s="381">
        <f>Rounding!AA113</f>
        <v>1723.2651738595375</v>
      </c>
      <c r="AB35" s="381">
        <f>Rounding!AB113</f>
        <v>322.05936254955475</v>
      </c>
      <c r="AC35" s="381">
        <f>Rounding!AC113</f>
        <v>741.570658506266</v>
      </c>
      <c r="AD35" s="381">
        <f>Rounding!AD113</f>
        <v>3586.6225378850922</v>
      </c>
      <c r="AE35" s="381">
        <f>Rounding!AE113</f>
        <v>7343.8657827830029</v>
      </c>
      <c r="AF35" s="381">
        <f>Rounding!AF113</f>
        <v>15742.624501707158</v>
      </c>
      <c r="AG35" s="381">
        <f>Rounding!AG113</f>
        <v>0</v>
      </c>
      <c r="AH35" s="381">
        <f>Rounding!AH113</f>
        <v>0</v>
      </c>
      <c r="AI35" s="381">
        <f>Rounding!AI113</f>
        <v>0</v>
      </c>
      <c r="AJ35" s="381">
        <f>Rounding!AJ113</f>
        <v>0</v>
      </c>
      <c r="AK35" s="381">
        <f>Rounding!AL113</f>
        <v>0</v>
      </c>
      <c r="AL35" s="381">
        <f>Rounding!AN113</f>
        <v>526.69511172822524</v>
      </c>
    </row>
    <row r="36" spans="3:40" x14ac:dyDescent="0.35">
      <c r="C36" s="235"/>
      <c r="D36"/>
      <c r="F36" s="238" t="s">
        <v>160</v>
      </c>
      <c r="G36" s="238" t="s">
        <v>271</v>
      </c>
      <c r="H36" t="s">
        <v>773</v>
      </c>
      <c r="J36" s="381">
        <f>Rounding!J114</f>
        <v>0</v>
      </c>
      <c r="K36" s="381">
        <f>Rounding!K114</f>
        <v>0</v>
      </c>
      <c r="L36" s="381">
        <f>Rounding!L114</f>
        <v>0</v>
      </c>
      <c r="M36" s="381">
        <f>Rounding!M114</f>
        <v>0</v>
      </c>
      <c r="N36" s="381">
        <f>Rounding!N114</f>
        <v>0</v>
      </c>
      <c r="O36" s="381">
        <f>Rounding!O114</f>
        <v>0</v>
      </c>
      <c r="P36" s="381">
        <f>Rounding!P114</f>
        <v>0</v>
      </c>
      <c r="Q36" s="381">
        <f>Rounding!Q114</f>
        <v>0</v>
      </c>
      <c r="R36" s="381">
        <f>Rounding!R114</f>
        <v>5.4456927810994635</v>
      </c>
      <c r="S36" s="381">
        <f>Rounding!S114</f>
        <v>5.4456927810994635</v>
      </c>
      <c r="T36" s="381">
        <f>Rounding!T114</f>
        <v>5.4456927810994635</v>
      </c>
      <c r="U36" s="381">
        <f>Rounding!U114</f>
        <v>5.4456927810994635</v>
      </c>
      <c r="V36" s="381">
        <f>Rounding!V114</f>
        <v>5.4456927810994635</v>
      </c>
      <c r="W36" s="381">
        <f>Rounding!W114</f>
        <v>8.6286268818898275</v>
      </c>
      <c r="X36" s="381">
        <f>Rounding!X114</f>
        <v>8.6286268818898275</v>
      </c>
      <c r="Y36" s="381">
        <f>Rounding!Y114</f>
        <v>8.6286268818898275</v>
      </c>
      <c r="Z36" s="381">
        <f>Rounding!Z114</f>
        <v>8.6286268818898275</v>
      </c>
      <c r="AA36" s="381">
        <f>Rounding!AA114</f>
        <v>8.6286268818898275</v>
      </c>
      <c r="AB36" s="381">
        <f>Rounding!AB114</f>
        <v>11.66095176944162</v>
      </c>
      <c r="AC36" s="381">
        <f>Rounding!AC114</f>
        <v>11.66095176944162</v>
      </c>
      <c r="AD36" s="381">
        <f>Rounding!AD114</f>
        <v>11.66095176944162</v>
      </c>
      <c r="AE36" s="381">
        <f>Rounding!AE114</f>
        <v>11.66095176944162</v>
      </c>
      <c r="AF36" s="381">
        <f>Rounding!AF114</f>
        <v>11.66095176944162</v>
      </c>
      <c r="AG36" s="381">
        <f>Rounding!AG114</f>
        <v>0</v>
      </c>
      <c r="AH36" s="381">
        <f>Rounding!AH114</f>
        <v>0</v>
      </c>
      <c r="AI36" s="381">
        <f>Rounding!AI114</f>
        <v>0</v>
      </c>
      <c r="AJ36" s="381">
        <f>Rounding!AJ114</f>
        <v>0</v>
      </c>
      <c r="AK36" s="381">
        <f>Rounding!AL114</f>
        <v>0</v>
      </c>
      <c r="AL36" s="381">
        <f>Rounding!AN114</f>
        <v>0</v>
      </c>
    </row>
    <row r="37" spans="3:40" x14ac:dyDescent="0.35">
      <c r="C37" s="235"/>
      <c r="D37"/>
      <c r="F37" s="238" t="s">
        <v>161</v>
      </c>
      <c r="G37" s="238" t="s">
        <v>271</v>
      </c>
      <c r="H37" t="s">
        <v>773</v>
      </c>
      <c r="J37" s="381">
        <f>Rounding!J115</f>
        <v>0</v>
      </c>
      <c r="K37" s="381">
        <f>Rounding!K115</f>
        <v>0</v>
      </c>
      <c r="L37" s="381">
        <f>Rounding!L115</f>
        <v>0</v>
      </c>
      <c r="M37" s="381">
        <f>Rounding!M115</f>
        <v>0</v>
      </c>
      <c r="N37" s="381">
        <f>Rounding!N115</f>
        <v>0</v>
      </c>
      <c r="O37" s="381">
        <f>Rounding!O115</f>
        <v>0</v>
      </c>
      <c r="P37" s="381">
        <f>Rounding!P115</f>
        <v>0</v>
      </c>
      <c r="Q37" s="381">
        <f>Rounding!Q115</f>
        <v>0</v>
      </c>
      <c r="R37" s="381">
        <f>Rounding!R115</f>
        <v>9.5225717204209275</v>
      </c>
      <c r="S37" s="381">
        <f>Rounding!S115</f>
        <v>9.5225717204209275</v>
      </c>
      <c r="T37" s="381">
        <f>Rounding!T115</f>
        <v>9.5225717204209275</v>
      </c>
      <c r="U37" s="381">
        <f>Rounding!U115</f>
        <v>9.5225717204209275</v>
      </c>
      <c r="V37" s="381">
        <f>Rounding!V115</f>
        <v>9.5225717204209275</v>
      </c>
      <c r="W37" s="381">
        <f>Rounding!W115</f>
        <v>11.683618977303782</v>
      </c>
      <c r="X37" s="381">
        <f>Rounding!X115</f>
        <v>11.683618977303782</v>
      </c>
      <c r="Y37" s="381">
        <f>Rounding!Y115</f>
        <v>11.683618977303782</v>
      </c>
      <c r="Z37" s="381">
        <f>Rounding!Z115</f>
        <v>11.683618977303782</v>
      </c>
      <c r="AA37" s="381">
        <f>Rounding!AA115</f>
        <v>11.683618977303782</v>
      </c>
      <c r="AB37" s="381">
        <f>Rounding!AB115</f>
        <v>13.569478191552264</v>
      </c>
      <c r="AC37" s="381">
        <f>Rounding!AC115</f>
        <v>13.569478191552264</v>
      </c>
      <c r="AD37" s="381">
        <f>Rounding!AD115</f>
        <v>13.569478191552264</v>
      </c>
      <c r="AE37" s="381">
        <f>Rounding!AE115</f>
        <v>13.569478191552264</v>
      </c>
      <c r="AF37" s="381">
        <f>Rounding!AF115</f>
        <v>13.569478191552264</v>
      </c>
      <c r="AG37" s="381">
        <f>Rounding!AG115</f>
        <v>0</v>
      </c>
      <c r="AH37" s="381">
        <f>Rounding!AH115</f>
        <v>0</v>
      </c>
      <c r="AI37" s="381">
        <f>Rounding!AI115</f>
        <v>0</v>
      </c>
      <c r="AJ37" s="381">
        <f>Rounding!AJ115</f>
        <v>0</v>
      </c>
      <c r="AK37" s="381">
        <f>Rounding!AL115</f>
        <v>0</v>
      </c>
      <c r="AL37" s="381">
        <f>Rounding!AN115</f>
        <v>0</v>
      </c>
    </row>
    <row r="38" spans="3:40" x14ac:dyDescent="0.35">
      <c r="C38" s="235"/>
      <c r="D38"/>
      <c r="F38" s="239" t="s">
        <v>162</v>
      </c>
      <c r="G38" s="239" t="s">
        <v>272</v>
      </c>
      <c r="H38" s="269" t="s">
        <v>773</v>
      </c>
      <c r="I38" s="269"/>
      <c r="J38" s="286">
        <f>Rounding!J116</f>
        <v>0</v>
      </c>
      <c r="K38" s="286">
        <f>Rounding!K116</f>
        <v>0</v>
      </c>
      <c r="L38" s="286">
        <f>Rounding!L116</f>
        <v>0</v>
      </c>
      <c r="M38" s="286">
        <f>Rounding!M116</f>
        <v>0</v>
      </c>
      <c r="N38" s="286">
        <f>Rounding!N116</f>
        <v>0</v>
      </c>
      <c r="O38" s="286">
        <f>Rounding!O116</f>
        <v>0</v>
      </c>
      <c r="P38" s="286">
        <f>Rounding!P116</f>
        <v>0</v>
      </c>
      <c r="Q38" s="286">
        <f>Rounding!Q116</f>
        <v>0</v>
      </c>
      <c r="R38" s="286">
        <f>Rounding!R116</f>
        <v>0.29016585626188895</v>
      </c>
      <c r="S38" s="286">
        <f>Rounding!S116</f>
        <v>0.29016585626188895</v>
      </c>
      <c r="T38" s="286">
        <f>Rounding!T116</f>
        <v>0.29016585626188895</v>
      </c>
      <c r="U38" s="286">
        <f>Rounding!U116</f>
        <v>0.29016585626188895</v>
      </c>
      <c r="V38" s="286">
        <f>Rounding!V116</f>
        <v>0.29016585626188895</v>
      </c>
      <c r="W38" s="286">
        <f>Rounding!W116</f>
        <v>0.13734796865901858</v>
      </c>
      <c r="X38" s="286">
        <f>Rounding!X116</f>
        <v>0.13734796865901858</v>
      </c>
      <c r="Y38" s="286">
        <f>Rounding!Y116</f>
        <v>0.13734796865901858</v>
      </c>
      <c r="Z38" s="286">
        <f>Rounding!Z116</f>
        <v>0.13734796865901858</v>
      </c>
      <c r="AA38" s="286">
        <f>Rounding!AA116</f>
        <v>0.13734796865901858</v>
      </c>
      <c r="AB38" s="286">
        <f>Rounding!AB116</f>
        <v>9.3179203276517297E-2</v>
      </c>
      <c r="AC38" s="286">
        <f>Rounding!AC116</f>
        <v>9.3179203276517297E-2</v>
      </c>
      <c r="AD38" s="286">
        <f>Rounding!AD116</f>
        <v>9.3179203276517297E-2</v>
      </c>
      <c r="AE38" s="286">
        <f>Rounding!AE116</f>
        <v>9.3179203276517297E-2</v>
      </c>
      <c r="AF38" s="286">
        <f>Rounding!AF116</f>
        <v>9.3179203276517297E-2</v>
      </c>
      <c r="AG38" s="286">
        <f>Rounding!AG116</f>
        <v>0</v>
      </c>
      <c r="AH38" s="286">
        <f>Rounding!AH116</f>
        <v>0</v>
      </c>
      <c r="AI38" s="286">
        <f>Rounding!AI116</f>
        <v>0</v>
      </c>
      <c r="AJ38" s="286">
        <f>Rounding!AJ116</f>
        <v>0.28408916936135709</v>
      </c>
      <c r="AK38" s="286">
        <f>Rounding!AL116</f>
        <v>0.23757355377153469</v>
      </c>
      <c r="AL38" s="286">
        <f>Rounding!AN116</f>
        <v>0.21638006796957138</v>
      </c>
    </row>
    <row r="39" spans="3:40" x14ac:dyDescent="0.35">
      <c r="D39"/>
      <c r="E39"/>
      <c r="F39" s="240"/>
    </row>
    <row r="40" spans="3:40" x14ac:dyDescent="0.35">
      <c r="D40" s="29" t="s">
        <v>900</v>
      </c>
      <c r="E40"/>
    </row>
    <row r="42" spans="3:40" ht="60" customHeight="1" x14ac:dyDescent="0.35">
      <c r="D42"/>
      <c r="E42"/>
      <c r="F42" s="240"/>
      <c r="J42" s="236" t="s">
        <v>913</v>
      </c>
      <c r="K42" s="236" t="s">
        <v>831</v>
      </c>
      <c r="L42" s="236" t="s">
        <v>914</v>
      </c>
      <c r="M42" s="236" t="s">
        <v>915</v>
      </c>
      <c r="N42" s="236" t="s">
        <v>916</v>
      </c>
      <c r="O42" s="236" t="s">
        <v>917</v>
      </c>
      <c r="P42" s="236" t="s">
        <v>918</v>
      </c>
      <c r="Q42" s="236" t="s">
        <v>832</v>
      </c>
      <c r="R42" s="236" t="s">
        <v>919</v>
      </c>
      <c r="S42" s="236" t="s">
        <v>920</v>
      </c>
      <c r="T42" s="236" t="s">
        <v>921</v>
      </c>
      <c r="U42" s="236" t="s">
        <v>922</v>
      </c>
      <c r="V42" s="236" t="s">
        <v>923</v>
      </c>
      <c r="W42" s="236" t="s">
        <v>924</v>
      </c>
      <c r="X42" s="236" t="s">
        <v>925</v>
      </c>
      <c r="Y42" s="236" t="s">
        <v>926</v>
      </c>
      <c r="Z42" s="236" t="s">
        <v>927</v>
      </c>
      <c r="AA42" s="236" t="s">
        <v>928</v>
      </c>
      <c r="AB42" s="236" t="s">
        <v>929</v>
      </c>
      <c r="AC42" s="236" t="s">
        <v>930</v>
      </c>
      <c r="AD42" s="236" t="s">
        <v>931</v>
      </c>
      <c r="AE42" s="236" t="s">
        <v>932</v>
      </c>
      <c r="AF42" s="236" t="s">
        <v>933</v>
      </c>
      <c r="AG42" s="236" t="s">
        <v>841</v>
      </c>
      <c r="AH42" s="236" t="s">
        <v>833</v>
      </c>
      <c r="AI42" s="236" t="s">
        <v>834</v>
      </c>
      <c r="AJ42" s="236" t="s">
        <v>835</v>
      </c>
      <c r="AK42" s="236" t="s">
        <v>836</v>
      </c>
      <c r="AL42" s="236" t="s">
        <v>837</v>
      </c>
    </row>
    <row r="43" spans="3:40" x14ac:dyDescent="0.35">
      <c r="D43"/>
      <c r="E43" t="s">
        <v>895</v>
      </c>
      <c r="F43" s="240"/>
      <c r="G43" t="s">
        <v>270</v>
      </c>
      <c r="J43" s="233">
        <f>Rounding!J47</f>
        <v>9.9225903612093305</v>
      </c>
      <c r="K43" s="233">
        <f>Rounding!K47</f>
        <v>0</v>
      </c>
      <c r="L43" s="233">
        <f>Rounding!L47</f>
        <v>4.9696068210495895E-2</v>
      </c>
      <c r="M43" s="233">
        <f>Rounding!M47</f>
        <v>4.9696068210495895E-2</v>
      </c>
      <c r="N43" s="233">
        <f>Rounding!N47</f>
        <v>4.9696068210495895E-2</v>
      </c>
      <c r="O43" s="233">
        <f>Rounding!O47</f>
        <v>4.9696068210495895E-2</v>
      </c>
      <c r="P43" s="233">
        <f>Rounding!P47</f>
        <v>4.9696068210495895E-2</v>
      </c>
      <c r="Q43" s="233">
        <f>Rounding!Q47</f>
        <v>0</v>
      </c>
      <c r="R43" s="233">
        <f>Rounding!R47</f>
        <v>4.9696068210495895E-2</v>
      </c>
      <c r="S43" s="233">
        <f>Rounding!S47</f>
        <v>4.9696068210495895E-2</v>
      </c>
      <c r="T43" s="233">
        <f>Rounding!T47</f>
        <v>4.9696068210495895E-2</v>
      </c>
      <c r="U43" s="233">
        <f>Rounding!U47</f>
        <v>4.9696068210495895E-2</v>
      </c>
      <c r="V43" s="233">
        <f>Rounding!V47</f>
        <v>4.9696068210495895E-2</v>
      </c>
      <c r="W43" s="233">
        <f>Rounding!W47</f>
        <v>4.9696068210495895E-2</v>
      </c>
      <c r="X43" s="233">
        <f>Rounding!X47</f>
        <v>4.9696068210495895E-2</v>
      </c>
      <c r="Y43" s="233">
        <f>Rounding!Y47</f>
        <v>4.9696068210495895E-2</v>
      </c>
      <c r="Z43" s="233">
        <f>Rounding!Z47</f>
        <v>4.9696068210495895E-2</v>
      </c>
      <c r="AA43" s="233">
        <f>Rounding!AA47</f>
        <v>4.9696068210495895E-2</v>
      </c>
      <c r="AB43" s="233">
        <f>Rounding!AB47</f>
        <v>4.9696068210495895E-2</v>
      </c>
      <c r="AC43" s="233">
        <f>Rounding!AC47</f>
        <v>4.9696068210495895E-2</v>
      </c>
      <c r="AD43" s="233">
        <f>Rounding!AD47</f>
        <v>4.9696068210495895E-2</v>
      </c>
      <c r="AE43" s="233">
        <f>Rounding!AE47</f>
        <v>4.9696068210495895E-2</v>
      </c>
      <c r="AF43" s="233">
        <f>Rounding!AF47</f>
        <v>4.9696068210495895E-2</v>
      </c>
      <c r="AG43" s="233">
        <f>Rounding!AG47</f>
        <v>0</v>
      </c>
      <c r="AH43" s="233">
        <f>Rounding!AH47</f>
        <v>0</v>
      </c>
      <c r="AI43" s="233">
        <f>Rounding!AI47</f>
        <v>0</v>
      </c>
      <c r="AJ43" s="233">
        <f>Rounding!AJ47</f>
        <v>0</v>
      </c>
      <c r="AK43" s="233">
        <f>Rounding!AL47</f>
        <v>0</v>
      </c>
      <c r="AL43" s="233">
        <f>Rounding!AN47</f>
        <v>0</v>
      </c>
    </row>
    <row r="44" spans="3:40" x14ac:dyDescent="0.35">
      <c r="D44"/>
      <c r="E44"/>
      <c r="F44" s="240"/>
    </row>
    <row r="45" spans="3:40" x14ac:dyDescent="0.3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3:40" x14ac:dyDescent="0.35">
      <c r="C46" s="2"/>
      <c r="D46"/>
    </row>
    <row r="47" spans="3:40" x14ac:dyDescent="0.35">
      <c r="D47" s="29" t="s">
        <v>815</v>
      </c>
      <c r="E47"/>
    </row>
    <row r="49" spans="2:40" x14ac:dyDescent="0.35">
      <c r="D49"/>
      <c r="F49" s="2"/>
      <c r="G49" s="2"/>
      <c r="H49" s="2"/>
      <c r="I49" s="2"/>
      <c r="J49" s="114" t="s">
        <v>191</v>
      </c>
      <c r="K49" s="114" t="s">
        <v>192</v>
      </c>
      <c r="L49" s="114" t="s">
        <v>193</v>
      </c>
      <c r="M49" s="114" t="s">
        <v>194</v>
      </c>
      <c r="N49" s="114" t="s">
        <v>195</v>
      </c>
      <c r="O49" s="114" t="s">
        <v>196</v>
      </c>
      <c r="P49" s="114" t="s">
        <v>197</v>
      </c>
      <c r="Q49" s="114" t="s">
        <v>198</v>
      </c>
      <c r="R49" s="114" t="s">
        <v>199</v>
      </c>
      <c r="S49" s="114" t="s">
        <v>376</v>
      </c>
      <c r="T49" s="114" t="s">
        <v>377</v>
      </c>
    </row>
    <row r="50" spans="2:40" x14ac:dyDescent="0.35">
      <c r="D50"/>
      <c r="E50" s="301" t="s">
        <v>826</v>
      </c>
      <c r="F50" s="301"/>
      <c r="G50" s="67" t="s">
        <v>167</v>
      </c>
      <c r="H50" s="37"/>
      <c r="I50" s="37"/>
      <c r="J50" s="302"/>
      <c r="K50" s="303">
        <f t="array" ref="K50:O50">TRANSPOSE('System peak demand'!H227:H231)</f>
        <v>6.800000000000006E-2</v>
      </c>
      <c r="L50" s="303">
        <v>6.800000000000006E-2</v>
      </c>
      <c r="M50" s="303">
        <v>0.14810000000000012</v>
      </c>
      <c r="N50" s="303">
        <v>0.14810000000000012</v>
      </c>
      <c r="O50" s="303">
        <v>6.800000000000006E-2</v>
      </c>
      <c r="P50" s="302"/>
      <c r="Q50" s="302"/>
      <c r="R50" s="302"/>
      <c r="S50" s="302"/>
      <c r="T50" s="302"/>
    </row>
    <row r="51" spans="2:40" x14ac:dyDescent="0.35">
      <c r="D51"/>
      <c r="E51" s="304" t="s">
        <v>827</v>
      </c>
      <c r="F51" s="304"/>
      <c r="G51" s="108" t="s">
        <v>520</v>
      </c>
      <c r="H51" s="108"/>
      <c r="I51" s="108"/>
      <c r="J51" s="305">
        <f t="array" ref="J51:O51">TRANSPOSE('System peak demand'!H154:H159)</f>
        <v>881567.71074328502</v>
      </c>
      <c r="K51" s="305">
        <v>0</v>
      </c>
      <c r="L51" s="305">
        <v>0</v>
      </c>
      <c r="M51" s="305">
        <v>875877.97939321375</v>
      </c>
      <c r="N51" s="305">
        <v>864801.70144368825</v>
      </c>
      <c r="O51" s="305">
        <v>0</v>
      </c>
      <c r="P51" s="306"/>
      <c r="Q51" s="306"/>
      <c r="R51" s="306"/>
      <c r="S51" s="306"/>
      <c r="T51" s="306"/>
    </row>
    <row r="52" spans="2:40" x14ac:dyDescent="0.35">
      <c r="D52"/>
      <c r="E52" s="304" t="s">
        <v>816</v>
      </c>
      <c r="F52" s="304"/>
      <c r="G52" s="108" t="s">
        <v>277</v>
      </c>
      <c r="H52" s="108"/>
      <c r="I52" s="108"/>
      <c r="J52" s="306"/>
      <c r="K52" s="305">
        <f>'Unit costs'!L108</f>
        <v>0</v>
      </c>
      <c r="L52" s="305">
        <f>'Unit costs'!M108</f>
        <v>0</v>
      </c>
      <c r="M52" s="305">
        <f>'Unit costs'!N108</f>
        <v>174330836.21449617</v>
      </c>
      <c r="N52" s="305">
        <f>'Unit costs'!O108</f>
        <v>190955485.34882891</v>
      </c>
      <c r="O52" s="305">
        <f>'Unit costs'!P108</f>
        <v>0</v>
      </c>
      <c r="P52" s="305">
        <f>'Unit costs'!Q108</f>
        <v>874827574.43098819</v>
      </c>
      <c r="Q52" s="305">
        <f>'Unit costs'!R108</f>
        <v>209953948.16870975</v>
      </c>
      <c r="R52" s="305">
        <f>'Unit costs'!S108</f>
        <v>404158992.45417511</v>
      </c>
      <c r="S52" s="305">
        <f>'Unit costs'!T108</f>
        <v>361568689.20108002</v>
      </c>
      <c r="T52" s="305">
        <f>'Unit costs'!U108</f>
        <v>34838142.074793302</v>
      </c>
    </row>
    <row r="53" spans="2:40" x14ac:dyDescent="0.35">
      <c r="D53"/>
      <c r="E53" s="307" t="s">
        <v>392</v>
      </c>
      <c r="F53" s="307"/>
      <c r="G53" s="23" t="s">
        <v>283</v>
      </c>
      <c r="H53" s="23"/>
      <c r="I53" s="23"/>
      <c r="J53" s="232">
        <f>'Load &amp; loss characteristics'!K29</f>
        <v>1</v>
      </c>
      <c r="K53" s="232">
        <f>'Load &amp; loss characteristics'!L29</f>
        <v>1</v>
      </c>
      <c r="L53" s="232">
        <f>'Load &amp; loss characteristics'!M29</f>
        <v>1</v>
      </c>
      <c r="M53" s="232">
        <f>'Load &amp; loss characteristics'!N29</f>
        <v>1.0149999999999999</v>
      </c>
      <c r="N53" s="232">
        <f>'Load &amp; loss characteristics'!O29</f>
        <v>1.028</v>
      </c>
      <c r="O53" s="232">
        <f>'Load &amp; loss characteristics'!P29</f>
        <v>1.028</v>
      </c>
      <c r="P53" s="83"/>
      <c r="Q53" s="83"/>
      <c r="R53" s="83"/>
      <c r="S53" s="83"/>
      <c r="T53" s="83"/>
    </row>
    <row r="54" spans="2:40" x14ac:dyDescent="0.35">
      <c r="D54"/>
      <c r="E54"/>
      <c r="F54" s="240"/>
    </row>
    <row r="55" spans="2:40" x14ac:dyDescent="0.35">
      <c r="B55" s="30" t="s">
        <v>817</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row>
    <row r="57" spans="2:40" x14ac:dyDescent="0.3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9" spans="2:40" x14ac:dyDescent="0.35">
      <c r="D59" s="29" t="s">
        <v>818</v>
      </c>
      <c r="E59"/>
    </row>
    <row r="61" spans="2:40" ht="43.5" x14ac:dyDescent="0.35">
      <c r="F61" s="2"/>
      <c r="G61" s="2"/>
      <c r="H61" s="2"/>
      <c r="I61" s="2"/>
      <c r="J61" s="236" t="s">
        <v>913</v>
      </c>
      <c r="K61" s="236" t="s">
        <v>831</v>
      </c>
      <c r="L61" s="236" t="s">
        <v>914</v>
      </c>
      <c r="M61" s="236" t="s">
        <v>915</v>
      </c>
      <c r="N61" s="236" t="s">
        <v>916</v>
      </c>
      <c r="O61" s="236" t="s">
        <v>917</v>
      </c>
      <c r="P61" s="236" t="s">
        <v>918</v>
      </c>
      <c r="Q61" s="236" t="s">
        <v>832</v>
      </c>
      <c r="R61" s="236" t="s">
        <v>919</v>
      </c>
      <c r="S61" s="236" t="s">
        <v>920</v>
      </c>
      <c r="T61" s="236" t="s">
        <v>921</v>
      </c>
      <c r="U61" s="236" t="s">
        <v>922</v>
      </c>
      <c r="V61" s="236" t="s">
        <v>923</v>
      </c>
      <c r="W61" s="236" t="s">
        <v>924</v>
      </c>
      <c r="X61" s="236" t="s">
        <v>925</v>
      </c>
      <c r="Y61" s="236" t="s">
        <v>926</v>
      </c>
      <c r="Z61" s="236" t="s">
        <v>927</v>
      </c>
      <c r="AA61" s="236" t="s">
        <v>928</v>
      </c>
      <c r="AB61" s="236" t="s">
        <v>929</v>
      </c>
      <c r="AC61" s="236" t="s">
        <v>930</v>
      </c>
      <c r="AD61" s="236" t="s">
        <v>931</v>
      </c>
      <c r="AE61" s="236" t="s">
        <v>932</v>
      </c>
      <c r="AF61" s="236" t="s">
        <v>933</v>
      </c>
      <c r="AG61" s="236" t="s">
        <v>841</v>
      </c>
      <c r="AH61" s="236" t="s">
        <v>833</v>
      </c>
      <c r="AI61" s="236" t="s">
        <v>834</v>
      </c>
      <c r="AJ61" s="236" t="s">
        <v>835</v>
      </c>
      <c r="AK61" s="236" t="s">
        <v>836</v>
      </c>
      <c r="AL61" s="236" t="s">
        <v>837</v>
      </c>
    </row>
    <row r="62" spans="2:40" x14ac:dyDescent="0.35">
      <c r="C62" s="235"/>
      <c r="D62"/>
      <c r="E62" s="37" t="s">
        <v>771</v>
      </c>
      <c r="F62" s="37"/>
      <c r="G62" s="86" t="s">
        <v>277</v>
      </c>
      <c r="H62" s="37" t="s">
        <v>773</v>
      </c>
      <c r="I62" s="37"/>
      <c r="J62" s="234">
        <f>'Net revenue summary'!J140</f>
        <v>181.28310963074193</v>
      </c>
      <c r="K62" s="234">
        <f>'Net revenue summary'!K140</f>
        <v>66.694258266958983</v>
      </c>
      <c r="L62" s="234">
        <f>'Net revenue summary'!L140</f>
        <v>0</v>
      </c>
      <c r="M62" s="234">
        <f>'Net revenue summary'!M140</f>
        <v>77.347263592299853</v>
      </c>
      <c r="N62" s="234">
        <f>'Net revenue summary'!N140</f>
        <v>271.52937814801925</v>
      </c>
      <c r="O62" s="234">
        <f>'Net revenue summary'!O140</f>
        <v>614.50837494666257</v>
      </c>
      <c r="P62" s="234">
        <f>'Net revenue summary'!P140</f>
        <v>1924.6468079500037</v>
      </c>
      <c r="Q62" s="234">
        <f>'Net revenue summary'!Q140</f>
        <v>137.7846849492401</v>
      </c>
      <c r="R62" s="234">
        <f>'Net revenue summary'!R140</f>
        <v>0</v>
      </c>
      <c r="S62" s="234">
        <f>'Net revenue summary'!S140</f>
        <v>3567.9242306653819</v>
      </c>
      <c r="T62" s="234">
        <f>'Net revenue summary'!T140</f>
        <v>6698.9044862884102</v>
      </c>
      <c r="U62" s="234">
        <f>'Net revenue summary'!U140</f>
        <v>10983.574765073899</v>
      </c>
      <c r="V62" s="234">
        <f>'Net revenue summary'!V140</f>
        <v>24543.696306925849</v>
      </c>
      <c r="W62" s="234">
        <f>'Net revenue summary'!W140</f>
        <v>0</v>
      </c>
      <c r="X62" s="234">
        <f>'Net revenue summary'!X140</f>
        <v>14562.084076380097</v>
      </c>
      <c r="Y62" s="234">
        <f>'Net revenue summary'!Y140</f>
        <v>7999.2586645628198</v>
      </c>
      <c r="Z62" s="234">
        <f>'Net revenue summary'!Z140</f>
        <v>12025.395435098177</v>
      </c>
      <c r="AA62" s="234">
        <f>'Net revenue summary'!AA140</f>
        <v>32825.721357757982</v>
      </c>
      <c r="AB62" s="234">
        <f>'Net revenue summary'!AB140</f>
        <v>0</v>
      </c>
      <c r="AC62" s="234">
        <f>'Net revenue summary'!AC140</f>
        <v>7364.0838828557999</v>
      </c>
      <c r="AD62" s="234">
        <f>'Net revenue summary'!AD140</f>
        <v>49332.630804948698</v>
      </c>
      <c r="AE62" s="234">
        <f>'Net revenue summary'!AE140</f>
        <v>104757.32674310335</v>
      </c>
      <c r="AF62" s="234">
        <f>'Net revenue summary'!AF140</f>
        <v>228650.9080902265</v>
      </c>
      <c r="AG62" s="234">
        <f>'Net revenue summary'!AG140</f>
        <v>2579.6420444704077</v>
      </c>
      <c r="AH62" s="234">
        <f>'Net revenue summary'!AH140</f>
        <v>-275.17205218095773</v>
      </c>
      <c r="AI62" s="234">
        <f>'Net revenue summary'!AI140</f>
        <v>-32.198630000000001</v>
      </c>
      <c r="AJ62" s="234">
        <f>'Net revenue summary'!AJ140</f>
        <v>-7272.5802796544267</v>
      </c>
      <c r="AK62" s="234">
        <f>'Net revenue summary'!AL140</f>
        <v>-22511.799804167866</v>
      </c>
      <c r="AL62" s="234">
        <f>'Net revenue summary'!AN140</f>
        <v>-31467.388591707877</v>
      </c>
    </row>
    <row r="63" spans="2:40" x14ac:dyDescent="0.35">
      <c r="C63" s="235"/>
      <c r="D63"/>
      <c r="E63" s="108" t="s">
        <v>776</v>
      </c>
      <c r="F63" s="108"/>
      <c r="G63" s="214" t="s">
        <v>269</v>
      </c>
      <c r="H63" s="308" t="s">
        <v>773</v>
      </c>
      <c r="I63" s="308"/>
      <c r="J63" s="428">
        <f>'Net revenue summary'!J146</f>
        <v>4.9836472700077739</v>
      </c>
      <c r="K63" s="428">
        <f>'Net revenue summary'!K146</f>
        <v>1.3151050899485042</v>
      </c>
      <c r="L63" s="428">
        <f>'Net revenue summary'!L146</f>
        <v>0</v>
      </c>
      <c r="M63" s="428">
        <f>'Net revenue summary'!M146</f>
        <v>6.5653869409868495</v>
      </c>
      <c r="N63" s="428">
        <f>'Net revenue summary'!N146</f>
        <v>3.8948926593763344</v>
      </c>
      <c r="O63" s="428">
        <f>'Net revenue summary'!O146</f>
        <v>3.5721036180964814</v>
      </c>
      <c r="P63" s="428">
        <f>'Net revenue summary'!P146</f>
        <v>3.4192635264443663</v>
      </c>
      <c r="Q63" s="428">
        <f>'Net revenue summary'!Q146</f>
        <v>1.4193282415519053</v>
      </c>
      <c r="R63" s="428">
        <f>'Net revenue summary'!R146</f>
        <v>0</v>
      </c>
      <c r="S63" s="428">
        <f>'Net revenue summary'!S146</f>
        <v>4.0221249064923557</v>
      </c>
      <c r="T63" s="428">
        <f>'Net revenue summary'!T146</f>
        <v>3.9563465988056756</v>
      </c>
      <c r="U63" s="428">
        <f>'Net revenue summary'!U146</f>
        <v>3.9461409970145205</v>
      </c>
      <c r="V63" s="428">
        <f>'Net revenue summary'!V146</f>
        <v>3.9774191242670707</v>
      </c>
      <c r="W63" s="428">
        <f>'Net revenue summary'!W146</f>
        <v>0</v>
      </c>
      <c r="X63" s="428">
        <f>'Net revenue summary'!X146</f>
        <v>2.1759712156545068</v>
      </c>
      <c r="Y63" s="428">
        <f>'Net revenue summary'!Y146</f>
        <v>2.5983835552952241</v>
      </c>
      <c r="Z63" s="428">
        <f>'Net revenue summary'!Z146</f>
        <v>2.6369692969005709</v>
      </c>
      <c r="AA63" s="428">
        <f>'Net revenue summary'!AA146</f>
        <v>2.4961147864053879</v>
      </c>
      <c r="AB63" s="428">
        <f>'Net revenue summary'!AB146</f>
        <v>0</v>
      </c>
      <c r="AC63" s="428">
        <f>'Net revenue summary'!AC146</f>
        <v>4.375091781765148</v>
      </c>
      <c r="AD63" s="428">
        <f>'Net revenue summary'!AD146</f>
        <v>3.7663554082698498</v>
      </c>
      <c r="AE63" s="428">
        <f>'Net revenue summary'!AE146</f>
        <v>3.7183276450929372</v>
      </c>
      <c r="AF63" s="428">
        <f>'Net revenue summary'!AF146</f>
        <v>3.6955981499349355</v>
      </c>
      <c r="AG63" s="428">
        <f>'Net revenue summary'!AG146</f>
        <v>5.0617339584602847</v>
      </c>
      <c r="AH63" s="428">
        <f>'Net revenue summary'!AH146</f>
        <v>-1.6548849955157581</v>
      </c>
      <c r="AI63" s="428">
        <f>'Net revenue summary'!AI146</f>
        <v>-1.4412994628469114</v>
      </c>
      <c r="AJ63" s="428">
        <f>'Net revenue summary'!AJ146</f>
        <v>-1.4512986733288524</v>
      </c>
      <c r="AK63" s="428">
        <f>'Net revenue summary'!AL146</f>
        <v>-1.3309117880262025</v>
      </c>
      <c r="AL63" s="428">
        <f>'Net revenue summary'!AN146</f>
        <v>-0.67442361546482443</v>
      </c>
    </row>
    <row r="64" spans="2:40" x14ac:dyDescent="0.35">
      <c r="C64" s="235"/>
      <c r="D64"/>
      <c r="E64" s="108" t="s">
        <v>785</v>
      </c>
      <c r="F64" s="108"/>
      <c r="G64" s="108" t="s">
        <v>167</v>
      </c>
      <c r="H64" s="108" t="s">
        <v>773</v>
      </c>
      <c r="I64" s="108"/>
      <c r="J64" s="429" t="str">
        <f>'Net revenue summary'!J172</f>
        <v>-</v>
      </c>
      <c r="K64" s="429" t="str">
        <f>'Net revenue summary'!K172</f>
        <v>-</v>
      </c>
      <c r="L64" s="429" t="str">
        <f>'Net revenue summary'!L172</f>
        <v>-</v>
      </c>
      <c r="M64" s="429" t="str">
        <f>'Net revenue summary'!M172</f>
        <v>-</v>
      </c>
      <c r="N64" s="429" t="str">
        <f>'Net revenue summary'!N172</f>
        <v>-</v>
      </c>
      <c r="O64" s="429" t="str">
        <f>'Net revenue summary'!O172</f>
        <v>-</v>
      </c>
      <c r="P64" s="429" t="str">
        <f>'Net revenue summary'!P172</f>
        <v>-</v>
      </c>
      <c r="Q64" s="429" t="str">
        <f>'Net revenue summary'!Q172</f>
        <v>-</v>
      </c>
      <c r="R64" s="429" t="str">
        <f>'Net revenue summary'!R172</f>
        <v>-</v>
      </c>
      <c r="S64" s="429" t="str">
        <f>'Net revenue summary'!S172</f>
        <v>-</v>
      </c>
      <c r="T64" s="429" t="str">
        <f>'Net revenue summary'!T172</f>
        <v>-</v>
      </c>
      <c r="U64" s="429" t="str">
        <f>'Net revenue summary'!U172</f>
        <v>-</v>
      </c>
      <c r="V64" s="429" t="str">
        <f>'Net revenue summary'!V172</f>
        <v>-</v>
      </c>
      <c r="W64" s="429" t="str">
        <f>'Net revenue summary'!W172</f>
        <v>-</v>
      </c>
      <c r="X64" s="429" t="str">
        <f>'Net revenue summary'!X172</f>
        <v>-</v>
      </c>
      <c r="Y64" s="429" t="str">
        <f>'Net revenue summary'!Y172</f>
        <v>-</v>
      </c>
      <c r="Z64" s="429" t="str">
        <f>'Net revenue summary'!Z172</f>
        <v>-</v>
      </c>
      <c r="AA64" s="429" t="str">
        <f>'Net revenue summary'!AA172</f>
        <v>-</v>
      </c>
      <c r="AB64" s="429" t="str">
        <f>'Net revenue summary'!AB172</f>
        <v>-</v>
      </c>
      <c r="AC64" s="429" t="str">
        <f>'Net revenue summary'!AC172</f>
        <v>-</v>
      </c>
      <c r="AD64" s="429" t="str">
        <f>'Net revenue summary'!AD172</f>
        <v>-</v>
      </c>
      <c r="AE64" s="429" t="str">
        <f>'Net revenue summary'!AE172</f>
        <v>-</v>
      </c>
      <c r="AF64" s="429" t="str">
        <f>'Net revenue summary'!AF172</f>
        <v>-</v>
      </c>
      <c r="AG64" s="429" t="str">
        <f>'Net revenue summary'!AG172</f>
        <v>-</v>
      </c>
      <c r="AH64" s="429" t="str">
        <f>'Net revenue summary'!AH172</f>
        <v>-</v>
      </c>
      <c r="AI64" s="429" t="str">
        <f>'Net revenue summary'!AI172</f>
        <v>-</v>
      </c>
      <c r="AJ64" s="429" t="str">
        <f>'Net revenue summary'!AJ172</f>
        <v>-</v>
      </c>
      <c r="AK64" s="429" t="str">
        <f>'Net revenue summary'!AL172</f>
        <v>-</v>
      </c>
      <c r="AL64" s="429" t="str">
        <f>'Net revenue summary'!AN172</f>
        <v>-</v>
      </c>
    </row>
    <row r="65" spans="2:40" x14ac:dyDescent="0.35">
      <c r="C65" s="235"/>
      <c r="D65"/>
      <c r="E65" s="23" t="s">
        <v>786</v>
      </c>
      <c r="F65" s="23"/>
      <c r="G65" s="23" t="s">
        <v>269</v>
      </c>
      <c r="H65" s="266" t="s">
        <v>773</v>
      </c>
      <c r="I65" s="266"/>
      <c r="J65" s="430">
        <f>'Net revenue summary'!J174</f>
        <v>4.9836472700077739</v>
      </c>
      <c r="K65" s="430">
        <f>'Net revenue summary'!K174</f>
        <v>1.3151050899485042</v>
      </c>
      <c r="L65" s="430" t="str">
        <f>'Net revenue summary'!L174</f>
        <v>-</v>
      </c>
      <c r="M65" s="430">
        <f>'Net revenue summary'!M174</f>
        <v>6.5653869409868495</v>
      </c>
      <c r="N65" s="430">
        <f>'Net revenue summary'!N174</f>
        <v>3.8948926593763344</v>
      </c>
      <c r="O65" s="430">
        <f>'Net revenue summary'!O174</f>
        <v>3.5721036180964818</v>
      </c>
      <c r="P65" s="430">
        <f>'Net revenue summary'!P174</f>
        <v>3.4192635264443658</v>
      </c>
      <c r="Q65" s="430">
        <f>'Net revenue summary'!Q174</f>
        <v>1.4193282415519053</v>
      </c>
      <c r="R65" s="430" t="str">
        <f>'Net revenue summary'!R174</f>
        <v>-</v>
      </c>
      <c r="S65" s="430">
        <f>'Net revenue summary'!S174</f>
        <v>4.0221249064923557</v>
      </c>
      <c r="T65" s="430">
        <f>'Net revenue summary'!T174</f>
        <v>3.9563465988056756</v>
      </c>
      <c r="U65" s="430">
        <f>'Net revenue summary'!U174</f>
        <v>3.9461409970145205</v>
      </c>
      <c r="V65" s="430">
        <f>'Net revenue summary'!V174</f>
        <v>3.9774191242670711</v>
      </c>
      <c r="W65" s="430" t="str">
        <f>'Net revenue summary'!W174</f>
        <v>-</v>
      </c>
      <c r="X65" s="430">
        <f>'Net revenue summary'!X174</f>
        <v>2.1759712156545072</v>
      </c>
      <c r="Y65" s="430">
        <f>'Net revenue summary'!Y174</f>
        <v>2.5983835552952241</v>
      </c>
      <c r="Z65" s="430">
        <f>'Net revenue summary'!Z174</f>
        <v>2.6369692969005709</v>
      </c>
      <c r="AA65" s="430">
        <f>'Net revenue summary'!AA174</f>
        <v>2.4961147864053879</v>
      </c>
      <c r="AB65" s="430" t="str">
        <f>'Net revenue summary'!AB174</f>
        <v>-</v>
      </c>
      <c r="AC65" s="430">
        <f>'Net revenue summary'!AC174</f>
        <v>4.375091781765148</v>
      </c>
      <c r="AD65" s="430">
        <f>'Net revenue summary'!AD174</f>
        <v>3.7663554082698498</v>
      </c>
      <c r="AE65" s="430">
        <f>'Net revenue summary'!AE174</f>
        <v>3.7183276450929368</v>
      </c>
      <c r="AF65" s="430">
        <f>'Net revenue summary'!AF174</f>
        <v>3.6955981499349355</v>
      </c>
      <c r="AG65" s="430">
        <f>'Net revenue summary'!AG174</f>
        <v>5.0617339584602856</v>
      </c>
      <c r="AH65" s="430">
        <f>'Net revenue summary'!AH174</f>
        <v>-1.6548849955157579</v>
      </c>
      <c r="AI65" s="430">
        <f>'Net revenue summary'!AI174</f>
        <v>-1.4412994628469114</v>
      </c>
      <c r="AJ65" s="430">
        <f>'Net revenue summary'!AJ174</f>
        <v>-1.4512986733288524</v>
      </c>
      <c r="AK65" s="430">
        <f>'Net revenue summary'!AL174</f>
        <v>-1.3309117880262025</v>
      </c>
      <c r="AL65" s="430">
        <f>'Net revenue summary'!AN174</f>
        <v>-0.67442361546482454</v>
      </c>
    </row>
    <row r="66" spans="2:40" x14ac:dyDescent="0.35">
      <c r="C66" s="235"/>
    </row>
    <row r="67" spans="2:40" x14ac:dyDescent="0.3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spans="2:40" x14ac:dyDescent="0.35">
      <c r="D69" s="29" t="s">
        <v>819</v>
      </c>
      <c r="E69"/>
    </row>
    <row r="70" spans="2:40" x14ac:dyDescent="0.35">
      <c r="D70" s="29" t="s">
        <v>820</v>
      </c>
      <c r="E70"/>
    </row>
    <row r="72" spans="2:40" ht="43.5" x14ac:dyDescent="0.35">
      <c r="E72"/>
      <c r="J72" s="236" t="s">
        <v>913</v>
      </c>
      <c r="K72" s="236" t="s">
        <v>831</v>
      </c>
      <c r="L72" s="236" t="s">
        <v>914</v>
      </c>
      <c r="M72" s="236" t="s">
        <v>915</v>
      </c>
      <c r="N72" s="236" t="s">
        <v>916</v>
      </c>
      <c r="O72" s="236" t="s">
        <v>917</v>
      </c>
      <c r="P72" s="236" t="s">
        <v>918</v>
      </c>
      <c r="Q72" s="236" t="s">
        <v>832</v>
      </c>
      <c r="R72" s="236" t="s">
        <v>919</v>
      </c>
      <c r="S72" s="236" t="s">
        <v>920</v>
      </c>
      <c r="T72" s="236" t="s">
        <v>921</v>
      </c>
      <c r="U72" s="236" t="s">
        <v>922</v>
      </c>
      <c r="V72" s="236" t="s">
        <v>923</v>
      </c>
      <c r="W72" s="236" t="s">
        <v>924</v>
      </c>
      <c r="X72" s="236" t="s">
        <v>925</v>
      </c>
      <c r="Y72" s="236" t="s">
        <v>926</v>
      </c>
      <c r="Z72" s="236" t="s">
        <v>927</v>
      </c>
      <c r="AA72" s="236" t="s">
        <v>928</v>
      </c>
      <c r="AB72" s="236" t="s">
        <v>929</v>
      </c>
      <c r="AC72" s="236" t="s">
        <v>930</v>
      </c>
      <c r="AD72" s="236" t="s">
        <v>931</v>
      </c>
      <c r="AE72" s="236" t="s">
        <v>932</v>
      </c>
      <c r="AF72" s="236" t="s">
        <v>933</v>
      </c>
      <c r="AG72" s="236" t="s">
        <v>841</v>
      </c>
      <c r="AH72" s="236" t="s">
        <v>833</v>
      </c>
      <c r="AI72" s="236" t="s">
        <v>834</v>
      </c>
      <c r="AJ72" s="236" t="s">
        <v>835</v>
      </c>
      <c r="AK72" s="236" t="s">
        <v>836</v>
      </c>
      <c r="AL72" s="236" t="s">
        <v>837</v>
      </c>
    </row>
    <row r="73" spans="2:40" x14ac:dyDescent="0.35">
      <c r="C73" s="235"/>
      <c r="D73"/>
      <c r="E73" s="23" t="s">
        <v>794</v>
      </c>
      <c r="F73" s="23"/>
      <c r="G73" s="64" t="s">
        <v>167</v>
      </c>
      <c r="H73" s="23" t="s">
        <v>448</v>
      </c>
      <c r="I73" s="23"/>
      <c r="J73" s="309">
        <f>'Net revenue summary'!J206</f>
        <v>0.23511032286691741</v>
      </c>
      <c r="K73" s="309">
        <f>'Net revenue summary'!K206</f>
        <v>0.2936577405014234</v>
      </c>
      <c r="L73" s="309">
        <f>'Net revenue summary'!L206</f>
        <v>0</v>
      </c>
      <c r="M73" s="309">
        <f>'Net revenue summary'!M206</f>
        <v>0.29317431918824383</v>
      </c>
      <c r="N73" s="309">
        <f>'Net revenue summary'!N206</f>
        <v>0.29340409299868936</v>
      </c>
      <c r="O73" s="309">
        <f>'Net revenue summary'!O206</f>
        <v>0.2934692691884126</v>
      </c>
      <c r="P73" s="309">
        <f>'Net revenue summary'!P206</f>
        <v>0.29353373592952642</v>
      </c>
      <c r="Q73" s="309">
        <f>'Net revenue summary'!Q206</f>
        <v>0.29333986252877031</v>
      </c>
      <c r="R73" s="309">
        <f>'Net revenue summary'!R206</f>
        <v>0</v>
      </c>
      <c r="S73" s="309">
        <f>'Net revenue summary'!S206</f>
        <v>0.29358165650766216</v>
      </c>
      <c r="T73" s="309">
        <f>'Net revenue summary'!T206</f>
        <v>0.29358510644072722</v>
      </c>
      <c r="U73" s="309">
        <f>'Net revenue summary'!U206</f>
        <v>0.29359084759163012</v>
      </c>
      <c r="V73" s="309">
        <f>'Net revenue summary'!V206</f>
        <v>0.2935934929179797</v>
      </c>
      <c r="W73" s="165"/>
      <c r="X73" s="165"/>
      <c r="Y73" s="165"/>
      <c r="Z73" s="165"/>
      <c r="AA73" s="165"/>
      <c r="AB73" s="165"/>
      <c r="AC73" s="165"/>
      <c r="AD73" s="165"/>
      <c r="AE73" s="165"/>
      <c r="AF73" s="165"/>
      <c r="AG73" s="309">
        <f>'Net revenue summary'!AG206</f>
        <v>0.29367153540264629</v>
      </c>
      <c r="AH73" s="309">
        <f>'Net revenue summary'!AH206</f>
        <v>0</v>
      </c>
      <c r="AI73" s="165"/>
      <c r="AJ73" s="309">
        <f>'Net revenue summary'!AJ206</f>
        <v>-1.2505804911047952E-16</v>
      </c>
      <c r="AK73" s="165"/>
      <c r="AL73" s="165"/>
    </row>
    <row r="74" spans="2:40" x14ac:dyDescent="0.35">
      <c r="C74" s="235"/>
      <c r="D74"/>
      <c r="E74" s="37" t="s">
        <v>795</v>
      </c>
      <c r="F74" s="37"/>
      <c r="G74" s="67" t="s">
        <v>167</v>
      </c>
      <c r="H74" s="37" t="s">
        <v>449</v>
      </c>
      <c r="I74" s="37"/>
      <c r="J74" s="310">
        <f>'Net revenue summary'!J207</f>
        <v>0.42628079817525111</v>
      </c>
      <c r="K74" s="310">
        <f>'Net revenue summary'!K207</f>
        <v>0.5327762832458105</v>
      </c>
      <c r="L74" s="310">
        <f>'Net revenue summary'!L207</f>
        <v>0</v>
      </c>
      <c r="M74" s="310">
        <f>'Net revenue summary'!M207</f>
        <v>0.53129413684362425</v>
      </c>
      <c r="N74" s="310">
        <f>'Net revenue summary'!N207</f>
        <v>0.53203371288153334</v>
      </c>
      <c r="O74" s="310">
        <f>'Net revenue summary'!O207</f>
        <v>0.532291977015106</v>
      </c>
      <c r="P74" s="310">
        <f>'Net revenue summary'!P207</f>
        <v>0.53240164716642269</v>
      </c>
      <c r="Q74" s="310">
        <f>'Net revenue summary'!Q207</f>
        <v>0.53234664541341747</v>
      </c>
      <c r="R74" s="310">
        <f>'Net revenue summary'!R207</f>
        <v>0</v>
      </c>
      <c r="S74" s="310">
        <f>'Net revenue summary'!S207</f>
        <v>0.53244754800760574</v>
      </c>
      <c r="T74" s="310">
        <f>'Net revenue summary'!T207</f>
        <v>0.53245606095997355</v>
      </c>
      <c r="U74" s="310">
        <f>'Net revenue summary'!U207</f>
        <v>0.53246334734454526</v>
      </c>
      <c r="V74" s="310">
        <f>'Net revenue summary'!V207</f>
        <v>0.53246789231803981</v>
      </c>
      <c r="W74" s="310">
        <f>'Net revenue summary'!W207</f>
        <v>0</v>
      </c>
      <c r="X74" s="310">
        <f>'Net revenue summary'!X207</f>
        <v>0.32551478527302141</v>
      </c>
      <c r="Y74" s="310">
        <f>'Net revenue summary'!Y207</f>
        <v>0.32545578530549035</v>
      </c>
      <c r="Z74" s="310">
        <f>'Net revenue summary'!Z207</f>
        <v>0.32545424025423875</v>
      </c>
      <c r="AA74" s="310">
        <f>'Net revenue summary'!AA207</f>
        <v>0.32547314087968338</v>
      </c>
      <c r="AB74" s="310">
        <f>'Net revenue summary'!AB207</f>
        <v>0</v>
      </c>
      <c r="AC74" s="310">
        <f>'Net revenue summary'!AC207</f>
        <v>0.26243658552602445</v>
      </c>
      <c r="AD74" s="310">
        <f>'Net revenue summary'!AD207</f>
        <v>0.2624459212155652</v>
      </c>
      <c r="AE74" s="310">
        <f>'Net revenue summary'!AE207</f>
        <v>0.2624470057925844</v>
      </c>
      <c r="AF74" s="310">
        <f>'Net revenue summary'!AF207</f>
        <v>0.26244735718580398</v>
      </c>
      <c r="AG74" s="310">
        <f>'Net revenue summary'!AG207</f>
        <v>0.53251774462509571</v>
      </c>
      <c r="AH74" s="310">
        <f>'Net revenue summary'!AH207</f>
        <v>0</v>
      </c>
      <c r="AI74" s="310">
        <f>'Net revenue summary'!AI207</f>
        <v>0</v>
      </c>
      <c r="AJ74" s="310">
        <f>'Net revenue summary'!AJ207</f>
        <v>-1.2505804911047952E-16</v>
      </c>
      <c r="AK74" s="310">
        <f>'Net revenue summary'!AL207</f>
        <v>0</v>
      </c>
      <c r="AL74" s="310">
        <f>'Net revenue summary'!AN207</f>
        <v>-6.109356657916637E-2</v>
      </c>
    </row>
    <row r="76" spans="2:40" x14ac:dyDescent="0.35">
      <c r="B76" s="30" t="s">
        <v>231</v>
      </c>
      <c r="C76" s="30"/>
      <c r="D76" s="30"/>
      <c r="E76" s="30"/>
      <c r="F76" s="30"/>
      <c r="G76" s="30"/>
      <c r="H76" s="30"/>
      <c r="I76" s="30"/>
      <c r="J76" s="30"/>
      <c r="K76" s="30"/>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05"/>
      <c r="AL76" s="105"/>
      <c r="AM76" s="105"/>
      <c r="AN76" s="105"/>
    </row>
    <row r="78" spans="2:40" x14ac:dyDescent="0.35">
      <c r="E78" t="s">
        <v>232</v>
      </c>
      <c r="G78" s="6" t="s">
        <v>55</v>
      </c>
      <c r="H78" s="103">
        <f t="array" ref="H78">SUM(IF(ISERROR(H19:AL75), 1))</f>
        <v>0</v>
      </c>
    </row>
    <row r="80" spans="2:40" x14ac:dyDescent="0.35">
      <c r="B80" s="30" t="s">
        <v>106</v>
      </c>
      <c r="C80" s="30"/>
      <c r="D80" s="30"/>
      <c r="E80" s="30"/>
      <c r="F80" s="30"/>
      <c r="G80" s="30"/>
      <c r="H80" s="30"/>
      <c r="I80" s="30"/>
      <c r="J80" s="30"/>
      <c r="K80" s="30"/>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5"/>
      <c r="AL80" s="105"/>
      <c r="AM80" s="105"/>
      <c r="AN80" s="10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1" ma:contentTypeDescription="Create a new document." ma:contentTypeScope="" ma:versionID="815b1f0063b9eec52ce5c926dd3976d1">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36b723a32132d788b7361964f967f773"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433340-7BEC-4F3D-99D4-81DABA0ADC9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4fb325ff-59f4-4202-984d-cc4ef0b29ee2"/>
    <ds:schemaRef ds:uri="375f405a-1d4b-4796-a028-0e90b458cbcf"/>
    <ds:schemaRef ds:uri="http://www.w3.org/XML/1998/namespace"/>
  </ds:schemaRefs>
</ds:datastoreItem>
</file>

<file path=customXml/itemProps2.xml><?xml version="1.0" encoding="utf-8"?>
<ds:datastoreItem xmlns:ds="http://schemas.openxmlformats.org/officeDocument/2006/customXml" ds:itemID="{5106A8EC-A193-41F6-BF58-35011515B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BM</vt:lpstr>
      <vt:lpstr>charging_year</vt:lpstr>
      <vt:lpstr>check_decimals</vt:lpstr>
      <vt:lpstr>days_in_year</vt:lpstr>
      <vt:lpstr>DNO_name</vt:lpstr>
      <vt:lpstr>hours_in_day</vt:lpstr>
      <vt:lpstr>hours_in_year</vt:lpstr>
      <vt:lpstr>hundred</vt:lpstr>
      <vt:lpstr>ICE</vt:lpstr>
      <vt:lpstr>IQ</vt:lpstr>
      <vt:lpstr>LDR</vt:lpstr>
      <vt:lpstr>PowerFactor</vt:lpstr>
      <vt:lpstr>ten</vt:lpstr>
      <vt:lpstr>thousand</vt:lpstr>
      <vt:lpstr>TTC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Clark, Emma</cp:lastModifiedBy>
  <cp:revision/>
  <dcterms:created xsi:type="dcterms:W3CDTF">2017-07-12T09:37:31Z</dcterms:created>
  <dcterms:modified xsi:type="dcterms:W3CDTF">2022-01-31T14:14:05Z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0x010100B0890CFB661AC84D96B569471696442A</vt:lpwstr>
  </property>
</Properties>
</file>