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19_20\E6\Bidoyng\"/>
    </mc:Choice>
  </mc:AlternateContent>
  <xr:revisionPtr revIDLastSave="0" documentId="13_ncr:1_{0A62777D-6AA2-47C6-A233-B0148AFB7189}" xr6:coauthVersionLast="41" xr6:coauthVersionMax="41" xr10:uidLastSave="{00000000-0000-0000-0000-000000000000}"/>
  <bookViews>
    <workbookView xWindow="-120" yWindow="-120" windowWidth="25440" windowHeight="15390" tabRatio="779" activeTab="4" xr2:uid="{00000000-000D-0000-FFFF-FFFF00000000}"/>
  </bookViews>
  <sheets>
    <sheet name="version control" sheetId="30" r:id="rId1"/>
    <sheet name="Guidance" sheetId="28" r:id="rId2"/>
    <sheet name="Option summary" sheetId="29" r:id="rId3"/>
    <sheet name="Fixed data" sheetId="20" r:id="rId4"/>
    <sheet name="Baseline Workings" sheetId="27" r:id="rId5"/>
    <sheet name="Option 1 (Baseline)" sheetId="33" r:id="rId6"/>
    <sheet name="Option 2" sheetId="34" r:id="rId7"/>
    <sheet name="Option 2 Workings" sheetId="32" r:id="rId8"/>
  </sheets>
  <definedNames>
    <definedName name="_xlnm.Print_Area" localSheetId="5">'Option 1 (Baseline)'!$A$1:$AB$104</definedName>
    <definedName name="_xlnm.Print_Area" localSheetId="6">'Option 2'!$A$1:$AB$104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27" l="1"/>
  <c r="G20" i="27"/>
  <c r="H10" i="32" l="1"/>
  <c r="I13" i="34" s="1"/>
  <c r="H8" i="32"/>
  <c r="G39" i="27"/>
  <c r="G38" i="27"/>
  <c r="I13" i="33" s="1"/>
  <c r="G35" i="27"/>
  <c r="I89" i="33" s="1"/>
  <c r="G34" i="27"/>
  <c r="I88" i="33" s="1"/>
  <c r="G29" i="27" l="1"/>
  <c r="G27" i="27" l="1"/>
  <c r="G25" i="27"/>
  <c r="G30" i="27" s="1"/>
  <c r="G14" i="27"/>
  <c r="G37" i="27" s="1"/>
  <c r="I68" i="33" s="1"/>
  <c r="G13" i="27"/>
  <c r="G36" i="27" l="1"/>
  <c r="I67" i="33" s="1"/>
  <c r="G40" i="27"/>
  <c r="H12" i="32" s="1"/>
  <c r="G15" i="27"/>
  <c r="G9" i="32"/>
  <c r="G8" i="32"/>
  <c r="G10" i="32" s="1"/>
  <c r="H40" i="27" l="1"/>
  <c r="H13" i="34"/>
  <c r="F28" i="27"/>
  <c r="F38" i="27" s="1"/>
  <c r="H13" i="33" s="1"/>
  <c r="F27" i="27"/>
  <c r="F25" i="27"/>
  <c r="F20" i="27"/>
  <c r="F14" i="27"/>
  <c r="F13" i="27"/>
  <c r="F35" i="27"/>
  <c r="H89" i="33" s="1"/>
  <c r="F34" i="27"/>
  <c r="H88" i="33" s="1"/>
  <c r="F15" i="27" l="1"/>
  <c r="F37" i="27"/>
  <c r="H68" i="33" s="1"/>
  <c r="F36" i="27"/>
  <c r="F30" i="27"/>
  <c r="E36" i="27"/>
  <c r="G67" i="33" s="1"/>
  <c r="D35" i="27"/>
  <c r="F89" i="33" s="1"/>
  <c r="E35" i="27"/>
  <c r="G89" i="33" s="1"/>
  <c r="C35" i="27"/>
  <c r="E89" i="33" s="1"/>
  <c r="D34" i="27"/>
  <c r="F88" i="33" s="1"/>
  <c r="E34" i="27"/>
  <c r="G88" i="33" s="1"/>
  <c r="C34" i="27"/>
  <c r="E88" i="33" s="1"/>
  <c r="E20" i="27"/>
  <c r="D20" i="27"/>
  <c r="C20" i="27"/>
  <c r="E14" i="27"/>
  <c r="E13" i="27"/>
  <c r="D14" i="27"/>
  <c r="D13" i="27"/>
  <c r="C14" i="27"/>
  <c r="C37" i="27" s="1"/>
  <c r="E68" i="33" s="1"/>
  <c r="C13" i="27"/>
  <c r="E28" i="27"/>
  <c r="E38" i="27" s="1"/>
  <c r="G13" i="33" s="1"/>
  <c r="E27" i="27"/>
  <c r="E25" i="27"/>
  <c r="E30" i="27" s="1"/>
  <c r="D28" i="27"/>
  <c r="D38" i="27" s="1"/>
  <c r="F13" i="33" s="1"/>
  <c r="D27" i="27"/>
  <c r="D25" i="27"/>
  <c r="C28" i="27"/>
  <c r="C38" i="27" s="1"/>
  <c r="E13" i="33" s="1"/>
  <c r="C27" i="27"/>
  <c r="C25" i="27"/>
  <c r="D36" i="27" l="1"/>
  <c r="D37" i="27"/>
  <c r="F68" i="33" s="1"/>
  <c r="C36" i="27"/>
  <c r="E67" i="33" s="1"/>
  <c r="E37" i="27"/>
  <c r="G68" i="33" s="1"/>
  <c r="D15" i="27"/>
  <c r="F40" i="27"/>
  <c r="G12" i="32" s="1"/>
  <c r="H67" i="33"/>
  <c r="D40" i="27"/>
  <c r="F67" i="33"/>
  <c r="C40" i="27"/>
  <c r="E40" i="27"/>
  <c r="E15" i="27"/>
  <c r="C30" i="27"/>
  <c r="C15" i="27"/>
  <c r="D30" i="27"/>
  <c r="D8" i="32" l="1"/>
  <c r="F8" i="32" l="1"/>
  <c r="F10" i="32" s="1"/>
  <c r="E8" i="32"/>
  <c r="E10" i="32" s="1"/>
  <c r="C10" i="32"/>
  <c r="D10" i="32" s="1"/>
  <c r="D12" i="32" s="1"/>
  <c r="D9" i="32"/>
  <c r="E12" i="32" l="1"/>
  <c r="F13" i="34"/>
  <c r="G13" i="34"/>
  <c r="F12" i="32"/>
  <c r="E13" i="34"/>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H40" i="33" s="1"/>
  <c r="AE26" i="33"/>
  <c r="AT65" i="33"/>
  <c r="I26" i="34"/>
  <c r="I28" i="34" s="1"/>
  <c r="K26" i="34"/>
  <c r="S26" i="34"/>
  <c r="S28" i="34" s="1"/>
  <c r="S29" i="34" s="1"/>
  <c r="Y26" i="34"/>
  <c r="Y28" i="34" s="1"/>
  <c r="Y29" i="34" s="1"/>
  <c r="AA26" i="34"/>
  <c r="AA28" i="34" s="1"/>
  <c r="AG26" i="34"/>
  <c r="AG28" i="34" s="1"/>
  <c r="AI26" i="34"/>
  <c r="AI28" i="34" s="1"/>
  <c r="AQ26" i="34"/>
  <c r="AQ28" i="34" s="1"/>
  <c r="AQ29" i="34" s="1"/>
  <c r="AW26" i="34"/>
  <c r="AW28" i="34" s="1"/>
  <c r="AM26" i="33"/>
  <c r="AM28" i="33" s="1"/>
  <c r="E65" i="33"/>
  <c r="AB65" i="33"/>
  <c r="BC67" i="34"/>
  <c r="AZ67" i="34"/>
  <c r="AQ67" i="34"/>
  <c r="AN67" i="34"/>
  <c r="AE67" i="34"/>
  <c r="AB67" i="34"/>
  <c r="S67" i="34"/>
  <c r="P67" i="34"/>
  <c r="G67" i="34"/>
  <c r="W70" i="34"/>
  <c r="K70" i="34"/>
  <c r="M72" i="34"/>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O34"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AJ33" i="34" s="1"/>
  <c r="P26" i="34"/>
  <c r="R26" i="34"/>
  <c r="R28" i="34" s="1"/>
  <c r="R29" i="34" s="1"/>
  <c r="T26" i="34"/>
  <c r="T28" i="34" s="1"/>
  <c r="T29" i="34" s="1"/>
  <c r="E67" i="34"/>
  <c r="Q67" i="34"/>
  <c r="AC67" i="34"/>
  <c r="AO67" i="34"/>
  <c r="BA67" i="34"/>
  <c r="X71" i="34"/>
  <c r="AD26" i="34"/>
  <c r="AD28" i="34" s="1"/>
  <c r="AF26" i="34"/>
  <c r="AP26" i="34"/>
  <c r="AP28" i="34" s="1"/>
  <c r="AR26" i="34"/>
  <c r="AR28" i="34" s="1"/>
  <c r="AR29" i="34" s="1"/>
  <c r="AC26" i="34"/>
  <c r="AC28" i="34" s="1"/>
  <c r="AC29" i="34" s="1"/>
  <c r="O26" i="34"/>
  <c r="O28" i="34" s="1"/>
  <c r="O29" i="34" s="1"/>
  <c r="W26" i="34"/>
  <c r="W28" i="34" s="1"/>
  <c r="W29" i="34" s="1"/>
  <c r="AM26" i="34"/>
  <c r="AM28" i="34" s="1"/>
  <c r="AM29" i="34" s="1"/>
  <c r="AU26" i="34"/>
  <c r="AU28" i="34" s="1"/>
  <c r="AU29" i="34" s="1"/>
  <c r="X26" i="34"/>
  <c r="X28" i="34" s="1"/>
  <c r="BC49" i="34" s="1"/>
  <c r="AN26" i="34"/>
  <c r="AN28" i="34" s="1"/>
  <c r="G26" i="33"/>
  <c r="G28" i="33" s="1"/>
  <c r="AS32" i="33" s="1"/>
  <c r="BA69" i="34"/>
  <c r="BA69" i="33"/>
  <c r="AO69" i="34"/>
  <c r="AO69" i="33"/>
  <c r="AC69" i="34"/>
  <c r="AC69" i="33"/>
  <c r="Q69" i="34"/>
  <c r="Q69" i="33"/>
  <c r="AQ68" i="33"/>
  <c r="AR71" i="33"/>
  <c r="AD65" i="34"/>
  <c r="K68" i="34"/>
  <c r="I70" i="34"/>
  <c r="J71" i="34"/>
  <c r="L72" i="34"/>
  <c r="AZ69" i="34"/>
  <c r="AN69" i="34"/>
  <c r="AB69" i="34"/>
  <c r="P69" i="34"/>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F28" i="33" s="1"/>
  <c r="AF29" i="33" s="1"/>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H26" i="33"/>
  <c r="H28" i="33" s="1"/>
  <c r="AN33" i="33" s="1"/>
  <c r="S68" i="33"/>
  <c r="AI69" i="33"/>
  <c r="AT69" i="34"/>
  <c r="AT69" i="33"/>
  <c r="AB69" i="33"/>
  <c r="AM66" i="33"/>
  <c r="V65" i="33"/>
  <c r="AR65"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J28" i="34" s="1"/>
  <c r="J29" i="34" s="1"/>
  <c r="V26" i="34"/>
  <c r="V28" i="34" s="1"/>
  <c r="AH26" i="34"/>
  <c r="AH28" i="34" s="1"/>
  <c r="AT26" i="34"/>
  <c r="AT28" i="34" s="1"/>
  <c r="AT29" i="34" s="1"/>
  <c r="M26" i="34"/>
  <c r="M28" i="34" s="1"/>
  <c r="M29" i="34" s="1"/>
  <c r="AK26" i="34"/>
  <c r="AK28" i="34" s="1"/>
  <c r="AK29" i="34" s="1"/>
  <c r="F67" i="34"/>
  <c r="R67" i="34"/>
  <c r="AD67" i="34"/>
  <c r="AP67" i="34"/>
  <c r="BB67" i="34"/>
  <c r="AE69" i="33"/>
  <c r="AQ69" i="33"/>
  <c r="BC69" i="33"/>
  <c r="L26" i="34"/>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L37" i="33" s="1"/>
  <c r="AJ26" i="33"/>
  <c r="AJ28" i="33" s="1"/>
  <c r="AV26" i="33"/>
  <c r="AV28" i="33" s="1"/>
  <c r="R67" i="33"/>
  <c r="AD67" i="33"/>
  <c r="AP67" i="33"/>
  <c r="BB67" i="33"/>
  <c r="K67" i="34"/>
  <c r="W67" i="34"/>
  <c r="AI67" i="34"/>
  <c r="AU67" i="34"/>
  <c r="M26" i="33"/>
  <c r="M28" i="33" s="1"/>
  <c r="M29" i="33" s="1"/>
  <c r="AK26" i="33"/>
  <c r="AK28" i="33" s="1"/>
  <c r="AB26" i="34"/>
  <c r="AB28" i="34" s="1"/>
  <c r="AB29" i="34" s="1"/>
  <c r="AE26" i="34"/>
  <c r="AE28" i="34" s="1"/>
  <c r="AE29" i="34" s="1"/>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U67" i="33"/>
  <c r="AG67" i="33"/>
  <c r="AS67" i="33"/>
  <c r="U26" i="34"/>
  <c r="U28" i="34" s="1"/>
  <c r="U29" i="34" s="1"/>
  <c r="AS26" i="34"/>
  <c r="N67" i="34"/>
  <c r="Z67" i="34"/>
  <c r="AL67" i="34"/>
  <c r="AX67" i="34"/>
  <c r="H69" i="34"/>
  <c r="U69" i="34"/>
  <c r="E26" i="34"/>
  <c r="E28" i="34" s="1"/>
  <c r="E29" i="34" s="1"/>
  <c r="G26" i="34"/>
  <c r="G28" i="34" s="1"/>
  <c r="C9" i="34"/>
  <c r="AY33" i="34"/>
  <c r="S33" i="34"/>
  <c r="BA33" i="34"/>
  <c r="U33" i="34"/>
  <c r="AD33" i="34"/>
  <c r="AM33" i="34"/>
  <c r="AV33" i="34"/>
  <c r="X33" i="34"/>
  <c r="AG33" i="34"/>
  <c r="Q33" i="34"/>
  <c r="AX33" i="34"/>
  <c r="AH33" i="34"/>
  <c r="R33" i="34"/>
  <c r="L28" i="34"/>
  <c r="L29" i="34" s="1"/>
  <c r="BB49" i="34"/>
  <c r="H29" i="34"/>
  <c r="K28" i="34"/>
  <c r="K29" i="34" s="1"/>
  <c r="F26" i="33"/>
  <c r="F28" i="33" s="1"/>
  <c r="AI31" i="33" s="1"/>
  <c r="P28" i="33"/>
  <c r="P29" i="33" s="1"/>
  <c r="BB54" i="33"/>
  <c r="AK54" i="33"/>
  <c r="BA37" i="33"/>
  <c r="U37" i="33"/>
  <c r="AN37" i="33"/>
  <c r="P37" i="33"/>
  <c r="AW49" i="33"/>
  <c r="AG49" i="33"/>
  <c r="AX49" i="33"/>
  <c r="AH49" i="33"/>
  <c r="AY49" i="33"/>
  <c r="AI49" i="33"/>
  <c r="AJ49" i="33"/>
  <c r="BC49" i="33"/>
  <c r="AM49" i="33"/>
  <c r="BD49" i="33"/>
  <c r="AN49" i="33"/>
  <c r="BC45" i="33"/>
  <c r="AM45" i="33"/>
  <c r="W45" i="33"/>
  <c r="AV45" i="33"/>
  <c r="AF45" i="33"/>
  <c r="AW45" i="33"/>
  <c r="AG45" i="33"/>
  <c r="AX45" i="33"/>
  <c r="AH45" i="33"/>
  <c r="BA45" i="33"/>
  <c r="AK45" i="33"/>
  <c r="U45" i="33"/>
  <c r="AT45" i="33"/>
  <c r="AD45" i="33"/>
  <c r="AF32" i="33"/>
  <c r="AT39" i="33"/>
  <c r="W39" i="33"/>
  <c r="AW39" i="33"/>
  <c r="AB39" i="33"/>
  <c r="U39" i="33"/>
  <c r="AS40" i="33"/>
  <c r="V40" i="33"/>
  <c r="AU40" i="33"/>
  <c r="AE40" i="33"/>
  <c r="BD40" i="33"/>
  <c r="AI40" i="33"/>
  <c r="S40" i="33"/>
  <c r="AR40" i="33"/>
  <c r="AB40" i="33"/>
  <c r="S26" i="33"/>
  <c r="AA26" i="33"/>
  <c r="AQ26" i="33"/>
  <c r="AA45" i="33"/>
  <c r="W29" i="33"/>
  <c r="AT48" i="33"/>
  <c r="Z39" i="33"/>
  <c r="Q40" i="33"/>
  <c r="AY45" i="33"/>
  <c r="AH55" i="33"/>
  <c r="AG48" i="33"/>
  <c r="AX48" i="33"/>
  <c r="AH48" i="33"/>
  <c r="AY48" i="33"/>
  <c r="AI48" i="33"/>
  <c r="AZ48" i="33"/>
  <c r="BC48" i="33"/>
  <c r="AM48" i="33"/>
  <c r="BD48" i="33"/>
  <c r="AN48" i="33"/>
  <c r="X48" i="33"/>
  <c r="AP50" i="33"/>
  <c r="Z50" i="33"/>
  <c r="AQ50" i="33"/>
  <c r="AA50" i="33"/>
  <c r="AR50" i="33"/>
  <c r="AB50" i="33"/>
  <c r="AS50" i="33"/>
  <c r="AC50" i="33"/>
  <c r="AV50" i="33"/>
  <c r="AF50" i="33"/>
  <c r="AO50" i="33"/>
  <c r="AQ45" i="33"/>
  <c r="AK49" i="33"/>
  <c r="AM29" i="33"/>
  <c r="S39" i="33"/>
  <c r="AR45" i="33"/>
  <c r="AM50" i="33"/>
  <c r="AP39" i="33"/>
  <c r="AI45" i="33"/>
  <c r="AC49" i="33"/>
  <c r="AB45" i="33"/>
  <c r="BC50" i="33"/>
  <c r="AX33" i="33"/>
  <c r="BB55" i="33"/>
  <c r="AU55" i="33"/>
  <c r="AE55" i="33"/>
  <c r="AV55" i="33"/>
  <c r="AF55" i="33"/>
  <c r="AO55" i="33"/>
  <c r="AZ55" i="33"/>
  <c r="AS55" i="33"/>
  <c r="AD48" i="33"/>
  <c r="K26" i="33"/>
  <c r="AI26" i="33"/>
  <c r="N29"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AT34" i="33" l="1"/>
  <c r="AU34" i="33"/>
  <c r="AC34" i="33"/>
  <c r="BA33" i="33"/>
  <c r="AV42" i="33"/>
  <c r="BA49" i="34"/>
  <c r="Z37" i="33"/>
  <c r="AV29" i="34"/>
  <c r="AR34" i="33"/>
  <c r="AG34" i="33"/>
  <c r="S34" i="33"/>
  <c r="AY40" i="33"/>
  <c r="AL40" i="33"/>
  <c r="Q37" i="33"/>
  <c r="AX49" i="34"/>
  <c r="J34" i="33"/>
  <c r="AM37" i="33"/>
  <c r="AR37" i="33"/>
  <c r="AZ49" i="34"/>
  <c r="AR29" i="33"/>
  <c r="AP34" i="33"/>
  <c r="AI37" i="33"/>
  <c r="AY49" i="34"/>
  <c r="X34" i="33"/>
  <c r="P33" i="33"/>
  <c r="X40" i="33"/>
  <c r="BB40" i="33"/>
  <c r="AW37" i="33"/>
  <c r="BD49" i="34"/>
  <c r="AW49" i="34"/>
  <c r="O29" i="33"/>
  <c r="X29" i="33"/>
  <c r="AJ55" i="33"/>
  <c r="AL55" i="33"/>
  <c r="AD49" i="33"/>
  <c r="N34" i="33"/>
  <c r="AJ48" i="33"/>
  <c r="AW48" i="33"/>
  <c r="R40" i="33"/>
  <c r="AJ29" i="33"/>
  <c r="AN40" i="33"/>
  <c r="AC40" i="33"/>
  <c r="AZ49" i="33"/>
  <c r="AO54" i="33"/>
  <c r="AW33" i="34"/>
  <c r="T33" i="33"/>
  <c r="X33" i="33"/>
  <c r="I33" i="33"/>
  <c r="AM42" i="33"/>
  <c r="AD42" i="33"/>
  <c r="AO33" i="33"/>
  <c r="N33" i="33"/>
  <c r="AZ33" i="33"/>
  <c r="Y33" i="33"/>
  <c r="AC42" i="33"/>
  <c r="S42" i="33"/>
  <c r="AD33" i="33"/>
  <c r="S33" i="33"/>
  <c r="T42" i="33"/>
  <c r="AJ33" i="33"/>
  <c r="AU33" i="33"/>
  <c r="AZ42" i="33"/>
  <c r="AP42" i="33"/>
  <c r="AT33" i="33"/>
  <c r="R33" i="33"/>
  <c r="M33" i="33"/>
  <c r="AI33" i="33"/>
  <c r="AH33" i="33"/>
  <c r="AC33" i="33"/>
  <c r="AY33" i="33"/>
  <c r="AI42" i="33"/>
  <c r="AW42" i="33"/>
  <c r="AI32" i="33"/>
  <c r="J32" i="33"/>
  <c r="AE32" i="33"/>
  <c r="Z32" i="33"/>
  <c r="AB32" i="33"/>
  <c r="AL32" i="33"/>
  <c r="AQ32" i="33"/>
  <c r="AP32" i="33"/>
  <c r="O32" i="33"/>
  <c r="I32" i="33"/>
  <c r="V32" i="33"/>
  <c r="AG32" i="33"/>
  <c r="AV32" i="33"/>
  <c r="AR32" i="33"/>
  <c r="AU32" i="33"/>
  <c r="AK32" i="33"/>
  <c r="G29" i="33"/>
  <c r="AC32" i="33"/>
  <c r="AW32" i="33"/>
  <c r="U32" i="33"/>
  <c r="P32" i="33"/>
  <c r="AU31" i="33"/>
  <c r="P31" i="33"/>
  <c r="AW31" i="33"/>
  <c r="R31" i="33"/>
  <c r="AP31" i="33"/>
  <c r="AD31" i="33"/>
  <c r="U31" i="33"/>
  <c r="L31" i="33"/>
  <c r="F29" i="33"/>
  <c r="AB31" i="33"/>
  <c r="AM31" i="33"/>
  <c r="V31" i="33"/>
  <c r="AF31" i="33"/>
  <c r="AY31" i="33"/>
  <c r="X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BD76" i="34" s="1"/>
  <c r="AY66" i="34"/>
  <c r="AY76" i="34" s="1"/>
  <c r="AY66" i="33"/>
  <c r="AY76" i="33" s="1"/>
  <c r="AM76" i="34"/>
  <c r="BA66" i="33"/>
  <c r="BA76" i="33" s="1"/>
  <c r="BA66" i="34"/>
  <c r="BA76" i="34" s="1"/>
  <c r="AN31" i="33"/>
  <c r="AO31" i="33"/>
  <c r="AL31" i="33"/>
  <c r="M31" i="33"/>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BA60" i="34" s="1"/>
  <c r="AK41" i="34"/>
  <c r="AK60" i="34" s="1"/>
  <c r="U41" i="34"/>
  <c r="U60" i="34" s="1"/>
  <c r="AT41" i="34"/>
  <c r="AD41" i="34"/>
  <c r="AD60" i="34" s="1"/>
  <c r="BC41" i="34"/>
  <c r="BC60" i="34" s="1"/>
  <c r="AM41" i="34"/>
  <c r="W41" i="34"/>
  <c r="W60" i="34" s="1"/>
  <c r="AV41" i="34"/>
  <c r="AV60" i="34" s="1"/>
  <c r="AF41" i="34"/>
  <c r="AF60" i="34" s="1"/>
  <c r="AW41" i="34"/>
  <c r="AG41" i="34"/>
  <c r="Q41" i="34"/>
  <c r="Q60" i="34" s="1"/>
  <c r="AP41" i="34"/>
  <c r="AP60" i="34" s="1"/>
  <c r="Z41" i="34"/>
  <c r="Z60" i="34" s="1"/>
  <c r="AY41" i="34"/>
  <c r="AY60" i="34" s="1"/>
  <c r="AI41" i="34"/>
  <c r="S41" i="34"/>
  <c r="AR41" i="34"/>
  <c r="AB41" i="34"/>
  <c r="AB60" i="34" s="1"/>
  <c r="AC41" i="34"/>
  <c r="AC60" i="34" s="1"/>
  <c r="AL41" i="34"/>
  <c r="AL60" i="34" s="1"/>
  <c r="AU41" i="34"/>
  <c r="BD41" i="34"/>
  <c r="X41" i="34"/>
  <c r="X60" i="34" s="1"/>
  <c r="Y41" i="34"/>
  <c r="AH41" i="34"/>
  <c r="AQ41" i="34"/>
  <c r="AQ60" i="34" s="1"/>
  <c r="AZ41" i="34"/>
  <c r="T41" i="34"/>
  <c r="T60" i="34" s="1"/>
  <c r="AS41" i="34"/>
  <c r="BB41" i="34"/>
  <c r="V41" i="34"/>
  <c r="AE41" i="34"/>
  <c r="AN41" i="34"/>
  <c r="AO41" i="34"/>
  <c r="AO60" i="34" s="1"/>
  <c r="AX41" i="34"/>
  <c r="R41" i="34"/>
  <c r="AA41" i="34"/>
  <c r="AJ41" i="34"/>
  <c r="AS57" i="34"/>
  <c r="BB57" i="34"/>
  <c r="BB60" i="34" s="1"/>
  <c r="AL57" i="34"/>
  <c r="AU57" i="34"/>
  <c r="BD57" i="34"/>
  <c r="BD60" i="34" s="1"/>
  <c r="AN57" i="34"/>
  <c r="BA57" i="34"/>
  <c r="AT57" i="34"/>
  <c r="AT60" i="34" s="1"/>
  <c r="AM57" i="34"/>
  <c r="AW57" i="34"/>
  <c r="AG57" i="34"/>
  <c r="AG60" i="34" s="1"/>
  <c r="AP57" i="34"/>
  <c r="AY57" i="34"/>
  <c r="AI57" i="34"/>
  <c r="AR57" i="34"/>
  <c r="AK57" i="34"/>
  <c r="AV57" i="34"/>
  <c r="AX57" i="34"/>
  <c r="AQ57" i="34"/>
  <c r="AJ57" i="34"/>
  <c r="AJ60" i="34" s="1"/>
  <c r="BC57" i="34"/>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G60" i="34"/>
  <c r="R60" i="34"/>
  <c r="K60" i="34"/>
  <c r="AW60" i="34"/>
  <c r="O60" i="34"/>
  <c r="AR60" i="34"/>
  <c r="E63" i="34"/>
  <c r="E64" i="34" s="1"/>
  <c r="F61" i="34"/>
  <c r="J60" i="34"/>
  <c r="Y60" i="34"/>
  <c r="AN60" i="34"/>
  <c r="L60" i="34"/>
  <c r="I60" i="34"/>
  <c r="AM60" i="34"/>
  <c r="M60" i="34"/>
  <c r="V60" i="34"/>
  <c r="AA60" i="34"/>
  <c r="P60" i="34"/>
  <c r="AE60" i="34"/>
  <c r="N60" i="34"/>
  <c r="S60" i="34"/>
  <c r="H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Y36" i="33"/>
  <c r="Q36" i="33"/>
  <c r="Q60" i="33" s="1"/>
  <c r="AX36" i="33"/>
  <c r="AP36" i="33"/>
  <c r="AH36" i="33"/>
  <c r="Z36" i="33"/>
  <c r="R36" i="33"/>
  <c r="R60" i="33" s="1"/>
  <c r="BA36" i="33"/>
  <c r="AS36" i="33"/>
  <c r="AK36" i="33"/>
  <c r="AC36" i="33"/>
  <c r="U36" i="33"/>
  <c r="M36" i="33"/>
  <c r="M60" i="33" s="1"/>
  <c r="BB36" i="33"/>
  <c r="AT36" i="33"/>
  <c r="AL36" i="33"/>
  <c r="AD36" i="33"/>
  <c r="V36" i="33"/>
  <c r="N36" i="33"/>
  <c r="N60" i="33" s="1"/>
  <c r="AJ36" i="33"/>
  <c r="AQ36" i="33"/>
  <c r="AZ36" i="33"/>
  <c r="T36" i="33"/>
  <c r="AR36" i="33"/>
  <c r="AY36" i="33"/>
  <c r="AA36" i="33"/>
  <c r="AB36" i="33"/>
  <c r="AI36" i="33"/>
  <c r="L36" i="33"/>
  <c r="L60" i="33" s="1"/>
  <c r="S36" i="33"/>
  <c r="S60" i="33" s="1"/>
  <c r="AA29" i="33"/>
  <c r="D41" i="20"/>
  <c r="H12" i="20"/>
  <c r="AA60" i="33" l="1"/>
  <c r="AW60" i="33"/>
  <c r="V60" i="33"/>
  <c r="AR60" i="33"/>
  <c r="AK60" i="33"/>
  <c r="AX60" i="34"/>
  <c r="AU60" i="34"/>
  <c r="AZ60" i="34"/>
  <c r="AG60" i="33"/>
  <c r="X60" i="33"/>
  <c r="AI60" i="34"/>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M62" i="34"/>
  <c r="AN61" i="34" s="1"/>
  <c r="AN63" i="33"/>
  <c r="AN64" i="33" s="1"/>
  <c r="AN77" i="33" s="1"/>
  <c r="AN80" i="33" s="1"/>
  <c r="AO62" i="33"/>
  <c r="AP61" i="33" s="1"/>
  <c r="AL77" i="34" l="1"/>
  <c r="AL80" i="34" s="1"/>
  <c r="AL81" i="34" s="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R62" i="33"/>
  <c r="AS61" i="33" s="1"/>
  <c r="AQ81" i="33" l="1"/>
  <c r="C6" i="33" s="1"/>
  <c r="I28" i="29" s="1"/>
  <c r="AO81" i="34"/>
  <c r="AP63" i="34"/>
  <c r="AP64" i="34" s="1"/>
  <c r="AP77" i="34" s="1"/>
  <c r="AP80" i="34" s="1"/>
  <c r="AQ62" i="34"/>
  <c r="AR61" i="34" s="1"/>
  <c r="AR63" i="33"/>
  <c r="AR64" i="33" s="1"/>
  <c r="AR77" i="33" s="1"/>
  <c r="AR80" i="33" s="1"/>
  <c r="AS62" i="33"/>
  <c r="AT61" i="33" s="1"/>
  <c r="AR81" i="33" l="1"/>
  <c r="AP81" i="34"/>
  <c r="AS63" i="33"/>
  <c r="AS64" i="33" s="1"/>
  <c r="AS77" i="33" s="1"/>
  <c r="AS80" i="33" s="1"/>
  <c r="AQ63" i="34"/>
  <c r="AQ64" i="34" s="1"/>
  <c r="AQ77" i="34" s="1"/>
  <c r="AQ80" i="34" s="1"/>
  <c r="AQ81" i="34" s="1"/>
  <c r="C6" i="34" s="1"/>
  <c r="I29" i="29" s="1"/>
  <c r="AR62" i="34"/>
  <c r="AS61" i="34" s="1"/>
  <c r="AT62" i="33"/>
  <c r="AU61" i="33" s="1"/>
  <c r="AS81" i="33" l="1"/>
  <c r="AR63" i="34"/>
  <c r="AR64" i="34" s="1"/>
  <c r="AR77" i="34" s="1"/>
  <c r="AR80" i="34" s="1"/>
  <c r="AR81" i="34" s="1"/>
  <c r="AS62" i="34"/>
  <c r="AT61" i="34" s="1"/>
  <c r="AT63" i="33"/>
  <c r="AT64" i="33" s="1"/>
  <c r="AT77" i="33" s="1"/>
  <c r="AT80" i="33" s="1"/>
  <c r="AU62" i="33"/>
  <c r="AV61" i="33" s="1"/>
  <c r="AT81" i="33" l="1"/>
  <c r="AU63" i="33"/>
  <c r="AU64" i="33" s="1"/>
  <c r="AU77" i="33" s="1"/>
  <c r="AU80" i="33" s="1"/>
  <c r="AS63" i="34"/>
  <c r="AS64" i="34" s="1"/>
  <c r="AS77" i="34" s="1"/>
  <c r="AS80" i="34" s="1"/>
  <c r="AS81" i="34" s="1"/>
  <c r="AT62" i="34"/>
  <c r="AU61" i="34" s="1"/>
  <c r="AV62" i="33"/>
  <c r="AW61" i="33" s="1"/>
  <c r="AU81" i="33" l="1"/>
  <c r="AT63" i="34"/>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H9" authorId="0" shapeId="0" xr:uid="{0D13806C-6A74-4505-9CFE-C1D5C80E9E7F}">
      <text>
        <r>
          <rPr>
            <b/>
            <sz val="9"/>
            <color indexed="81"/>
            <rFont val="Tahoma"/>
            <family val="2"/>
          </rPr>
          <t>Simpson, Alannah:</t>
        </r>
        <r>
          <rPr>
            <sz val="9"/>
            <color indexed="81"/>
            <rFont val="Tahoma"/>
            <family val="2"/>
          </rPr>
          <t xml:space="preserve">
operations cost - depots pay for this out of budgets</t>
        </r>
      </text>
    </comment>
  </commentList>
</comments>
</file>

<file path=xl/sharedStrings.xml><?xml version="1.0" encoding="utf-8"?>
<sst xmlns="http://schemas.openxmlformats.org/spreadsheetml/2006/main" count="762" uniqueCount="381">
  <si>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</si>
  <si>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</si>
  <si>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</si>
  <si>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</si>
  <si>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</si>
  <si>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</si>
  <si>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</si>
  <si>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</si>
  <si>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</si>
  <si>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</si>
  <si>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</si>
  <si>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</si>
  <si>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</si>
  <si>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</si>
  <si>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</si>
  <si>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</si>
  <si>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</si>
  <si>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</si>
  <si>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</si>
  <si>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</si>
  <si>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</si>
  <si>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</si>
  <si>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</si>
  <si>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</si>
  <si>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</si>
  <si>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</si>
  <si>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</si>
  <si>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</si>
  <si>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</si>
  <si>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</si>
  <si>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</si>
  <si>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</si>
  <si>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</si>
  <si>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</si>
  <si>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</si>
  <si>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</si>
  <si>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</si>
  <si>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</si>
  <si>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</si>
  <si>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</si>
  <si>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</si>
  <si>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</si>
  <si>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</si>
  <si>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</si>
  <si>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</si>
  <si>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</si>
  <si>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</si>
  <si>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</si>
  <si>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</si>
  <si>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</si>
  <si>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</si>
  <si>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</si>
  <si>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</si>
  <si>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</si>
  <si>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</si>
  <si>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</si>
  <si>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</si>
  <si>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</si>
  <si>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</si>
  <si>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</si>
  <si>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</si>
  <si>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</si>
  <si>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</si>
  <si>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</si>
  <si>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</si>
  <si>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</si>
  <si>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</si>
  <si>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</si>
  <si>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</si>
  <si>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</si>
  <si>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</si>
  <si>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</si>
  <si>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</si>
  <si>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</si>
  <si>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</si>
  <si>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</si>
  <si>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</si>
  <si>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</si>
  <si>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</si>
  <si>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</si>
  <si>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</si>
  <si>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</si>
  <si>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</si>
  <si>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</si>
  <si>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</si>
  <si>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</si>
  <si>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</si>
  <si>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</si>
  <si>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</si>
  <si>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</si>
  <si>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</si>
  <si>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</si>
  <si>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</si>
  <si>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</si>
  <si>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</si>
  <si>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</si>
  <si>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</si>
  <si>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</si>
  <si>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</si>
  <si>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</si>
  <si>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</si>
  <si>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</si>
  <si>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</si>
  <si>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</si>
  <si>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</si>
  <si>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</si>
  <si>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</si>
  <si>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</si>
  <si>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</si>
  <si>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</si>
  <si>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</si>
  <si>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</si>
  <si>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</si>
  <si>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</si>
  <si>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</si>
  <si>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</si>
  <si>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</si>
  <si>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</si>
  <si>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</si>
  <si>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</si>
  <si>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</si>
  <si>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</si>
  <si>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</si>
  <si>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</si>
  <si>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</si>
  <si>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</si>
  <si>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</si>
  <si>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</si>
  <si>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</si>
  <si>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</si>
  <si>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</si>
  <si>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</si>
  <si>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</si>
  <si>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</si>
  <si>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</si>
  <si>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</si>
  <si>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</si>
  <si>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</si>
  <si>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</si>
  <si>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</si>
  <si>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</si>
  <si>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</si>
  <si>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</si>
  <si>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</si>
  <si>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</si>
  <si>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</si>
  <si>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</si>
  <si>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</si>
  <si>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</si>
  <si>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</si>
  <si>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</si>
  <si>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</si>
  <si>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</si>
  <si>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</si>
  <si>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</si>
  <si>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</si>
  <si>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</si>
  <si>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</si>
  <si>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</si>
  <si>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</si>
  <si>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</si>
  <si>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</si>
  <si>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</si>
  <si>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</si>
  <si>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</si>
  <si>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</si>
  <si>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</si>
  <si>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</si>
  <si>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</si>
  <si>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</si>
  <si>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</si>
  <si>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</si>
  <si>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</si>
  <si>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</si>
  <si>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</si>
  <si>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</si>
  <si>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</si>
  <si>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</si>
  <si>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</si>
  <si>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</si>
  <si>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</si>
  <si>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</si>
  <si>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</si>
  <si>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</si>
  <si>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</si>
  <si>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</si>
  <si>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</si>
  <si>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</si>
  <si>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</si>
  <si>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</si>
  <si>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</si>
  <si>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</si>
  <si>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</si>
  <si>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</si>
  <si>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</si>
  <si>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</si>
  <si>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</si>
  <si>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</si>
  <si>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</si>
  <si>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</si>
  <si>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</si>
  <si>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</si>
  <si>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</si>
  <si>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</si>
  <si>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</si>
  <si>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</si>
  <si>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</si>
  <si>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</si>
  <si>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</si>
  <si>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</si>
  <si>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</si>
  <si>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</si>
  <si>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</si>
  <si>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</si>
  <si>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</si>
  <si>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</si>
  <si>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</si>
  <si>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</si>
  <si>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</si>
  <si>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</si>
  <si>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</si>
  <si>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</si>
  <si>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</si>
  <si>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</si>
  <si>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</si>
  <si>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</si>
  <si>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</si>
  <si>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</si>
  <si>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</si>
  <si>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</si>
  <si>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</si>
  <si>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</si>
  <si>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</si>
  <si>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</si>
  <si>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</si>
  <si>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</si>
  <si>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</si>
  <si>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</si>
  <si>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</si>
  <si>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</si>
  <si>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</si>
  <si>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</si>
  <si>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</si>
  <si>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</si>
  <si>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</si>
  <si>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</si>
  <si>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</si>
  <si>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</si>
  <si>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</si>
  <si>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</si>
  <si>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</si>
  <si>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</si>
  <si>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</si>
  <si>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</si>
  <si>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</si>
  <si>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</si>
  <si>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</si>
  <si>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</si>
  <si>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</si>
  <si>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</si>
  <si>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</si>
  <si>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</si>
  <si>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</si>
  <si>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</si>
  <si>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</si>
  <si>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</si>
  <si>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</si>
  <si>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</si>
  <si>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</si>
  <si>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</si>
  <si>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</si>
  <si>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</si>
  <si>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</si>
  <si>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</si>
  <si>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</si>
  <si>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</si>
  <si>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</si>
  <si>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</si>
  <si>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</si>
  <si>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</si>
  <si>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</si>
  <si>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</si>
  <si>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</si>
  <si>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</si>
  <si>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</si>
  <si>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</si>
  <si>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</si>
  <si>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</si>
  <si>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</si>
  <si>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</si>
  <si>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</si>
  <si>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</si>
  <si>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</si>
  <si>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</si>
  <si>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</si>
  <si>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</si>
  <si>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</si>
  <si>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</si>
  <si>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</si>
  <si>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</si>
  <si>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</si>
  <si>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</si>
  <si>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</si>
  <si>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</si>
  <si>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</si>
  <si>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</si>
  <si>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</si>
  <si>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</si>
  <si>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</si>
  <si>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</si>
  <si>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</si>
  <si>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</si>
  <si>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</si>
  <si>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</si>
  <si>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</si>
  <si>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</si>
  <si>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</si>
  <si>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</si>
  <si>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</si>
  <si>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</si>
  <si>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</si>
  <si>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</si>
  <si>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</si>
  <si>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</si>
  <si>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</si>
  <si>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</si>
  <si>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</si>
  <si>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</si>
  <si>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</si>
  <si>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</si>
  <si>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</si>
  <si>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</si>
  <si>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</si>
  <si>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</si>
  <si>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</si>
  <si>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</si>
  <si>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</si>
  <si>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</si>
  <si>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</si>
  <si>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</si>
  <si>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</si>
  <si>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</si>
  <si>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</si>
  <si>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</si>
  <si>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</si>
  <si>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</si>
  <si>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</si>
  <si>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Do Nothing Scenario.  Normal fault location occurrs</t>
  </si>
  <si>
    <t>LV automation team locates faults using Bidoyng technology</t>
  </si>
  <si>
    <t>Costs involved for the LV automation team e.g. Kelvatec contract cost, additional staff costs</t>
  </si>
  <si>
    <t>Total # of CI's</t>
  </si>
  <si>
    <t>Total # of CML's</t>
  </si>
  <si>
    <t>BD3 Calculated Data</t>
  </si>
  <si>
    <t>BD1 Calculated Data</t>
  </si>
  <si>
    <t>Bidoyng Costs</t>
  </si>
  <si>
    <t>Note</t>
  </si>
  <si>
    <t>Total Bidoyng Contract Spend</t>
  </si>
  <si>
    <t>*Based on a monthly spend of £158,333</t>
  </si>
  <si>
    <t>Normal Fault Location Activities</t>
  </si>
  <si>
    <t>Bidoyng Fault Location</t>
  </si>
  <si>
    <t>Bidoyng Incentive Spend 15/16</t>
  </si>
  <si>
    <t>Total Bidoyng Spend 15/16</t>
  </si>
  <si>
    <t>15/16</t>
  </si>
  <si>
    <t>16/17</t>
  </si>
  <si>
    <t>17/18</t>
  </si>
  <si>
    <t>*Bidoyng Data.  Acquired from LV automation team (BD1, BD2 &amp; BD3 Spreadsheets). Original data can be supplied if required</t>
  </si>
  <si>
    <t>BD2 Calculated data</t>
  </si>
  <si>
    <t>BD1, BD2 &amp; BD3 Totals</t>
  </si>
  <si>
    <t>Total CI Cost (Avoided)</t>
  </si>
  <si>
    <t>Total CML Cost (Avoided)</t>
  </si>
  <si>
    <t>Total Cost (Avoided)</t>
  </si>
  <si>
    <t>Total Cost of CI's (Avoided)</t>
  </si>
  <si>
    <t>Total Cost of CML's (Avoided)</t>
  </si>
  <si>
    <t>Additional Costs (Avoided)</t>
  </si>
  <si>
    <t>Total Costs (Avoided)</t>
  </si>
  <si>
    <r>
      <rPr>
        <b/>
        <sz val="10"/>
        <color theme="1"/>
        <rFont val="Gill Sans MT"/>
        <family val="2"/>
      </rPr>
      <t xml:space="preserve">Bidoyng: </t>
    </r>
    <r>
      <rPr>
        <sz val="10"/>
        <color theme="1"/>
        <rFont val="Gill Sans MT"/>
        <family val="2"/>
      </rPr>
      <t>Primary driver is to reduce number and duration of outages at the LV level.</t>
    </r>
  </si>
  <si>
    <t>Actual contract spend specifically for the Bidoyng project is £1.9m per annum.   However, full payment in first year of contract is £2.745m.  This is due to the nature of the contract, payment is higher in first year, but is lower in subsequent years.  Also, the contract includes fault master revap equipment that is used by depots for 'thumping' fault identification purposes.  This equipment is used by SSEPD, but is not attributed to the Bidoyng project.  Although these costs are not attributed to the Bidoyng project, for reporting purposes the full cost of the contract in 2015/16 has been mentioned i.e. 2.745m as these costs may not be reported elsewhere.</t>
  </si>
  <si>
    <t>18/19</t>
  </si>
  <si>
    <t>BD1 Duplicate Removal</t>
  </si>
  <si>
    <t>19/20</t>
  </si>
  <si>
    <t>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</si>
</sst>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
    <numFmt numFmtId="176" formatCode="&quot;£&quot;#,##0.0000"/>
    <numFmt numFmtId="181" formatCode="&quot;£&quot;#,##0.00000;[Red]\-&quot;£&quot;#,##0.00000"/>
  </numFmts>
  <fonts count="43"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11"/>
      <color theme="1"/>
      <name val="Arial"/>
      <family val="2"/>
    </font>
    <font>
      <sz val="11"/>
      <color rgb="FF000000"/>
      <name val="Calibri"/>
      <family val="2"/>
      <scheme val="minor"/>
    </font>
    <font>
      <sz val="11"/>
      <color rgb="FFFF0000"/>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31">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10">
    <xf numFmtId="0" fontId="0" fillId="0" borderId="0"/>
    <xf numFmtId="9" fontId="3"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14" fillId="0" borderId="0" applyNumberFormat="0" applyFill="0" applyBorder="0" applyAlignment="0" applyProtection="0">
      <alignment vertical="top"/>
      <protection locked="0"/>
    </xf>
    <xf numFmtId="43" fontId="3" fillId="0" borderId="0" applyFont="0" applyFill="0" applyBorder="0" applyAlignment="0" applyProtection="0"/>
    <xf numFmtId="44" fontId="3" fillId="0" borderId="0" applyFont="0" applyFill="0" applyBorder="0" applyAlignment="0" applyProtection="0"/>
    <xf numFmtId="0" fontId="38" fillId="0" borderId="0"/>
  </cellStyleXfs>
  <cellXfs count="241">
    <xf numFmtId="0" fontId="0" fillId="0" borderId="0" xfId="0"/>
    <xf numFmtId="0" fontId="5" fillId="0" borderId="0" xfId="0" applyFont="1"/>
    <xf numFmtId="0" fontId="6" fillId="0" borderId="0" xfId="0" applyFont="1"/>
    <xf numFmtId="0" fontId="7" fillId="5" borderId="0" xfId="0" applyFont="1" applyFill="1" applyProtection="1">
      <protection locked="0"/>
    </xf>
    <xf numFmtId="0" fontId="6" fillId="0" borderId="0" xfId="0" applyFont="1" applyProtection="1"/>
    <xf numFmtId="0" fontId="7" fillId="4" borderId="7" xfId="0" applyFont="1" applyFill="1" applyBorder="1" applyAlignment="1" applyProtection="1">
      <alignment horizontal="centerContinuous"/>
    </xf>
    <xf numFmtId="0" fontId="7" fillId="4" borderId="8" xfId="0" applyFont="1" applyFill="1" applyBorder="1" applyAlignment="1" applyProtection="1">
      <alignment horizontal="centerContinuous"/>
    </xf>
    <xf numFmtId="0" fontId="7" fillId="4" borderId="9" xfId="0" applyFont="1" applyFill="1" applyBorder="1" applyAlignment="1" applyProtection="1">
      <alignment horizontal="centerContinuous"/>
    </xf>
    <xf numFmtId="0" fontId="6" fillId="0" borderId="0" xfId="0" quotePrefix="1" applyFont="1" applyBorder="1" applyProtection="1"/>
    <xf numFmtId="0" fontId="6" fillId="0" borderId="0" xfId="0" applyFont="1" applyBorder="1" applyProtection="1"/>
    <xf numFmtId="164" fontId="6" fillId="5" borderId="0" xfId="1" applyNumberFormat="1" applyFont="1" applyFill="1" applyBorder="1" applyProtection="1"/>
    <xf numFmtId="0" fontId="6" fillId="0" borderId="0" xfId="0" applyFont="1" applyFill="1" applyBorder="1" applyProtection="1"/>
    <xf numFmtId="0" fontId="7" fillId="0" borderId="6" xfId="0" applyFont="1" applyBorder="1" applyProtection="1"/>
    <xf numFmtId="0" fontId="7" fillId="0" borderId="6" xfId="0" applyFont="1" applyFill="1" applyBorder="1" applyProtection="1"/>
    <xf numFmtId="0" fontId="7" fillId="0" borderId="0" xfId="0" applyFont="1" applyFill="1" applyBorder="1" applyProtection="1"/>
    <xf numFmtId="0" fontId="7" fillId="0" borderId="0" xfId="0" applyFont="1" applyProtection="1"/>
    <xf numFmtId="0" fontId="6" fillId="0" borderId="0" xfId="0" applyFont="1" applyBorder="1" applyAlignment="1" applyProtection="1">
      <alignment horizontal="right"/>
    </xf>
    <xf numFmtId="0" fontId="10" fillId="0" borderId="0" xfId="0" applyFont="1" applyProtection="1"/>
    <xf numFmtId="0" fontId="7" fillId="0" borderId="0" xfId="0" applyFont="1" applyBorder="1" applyProtection="1"/>
    <xf numFmtId="0" fontId="0" fillId="0" borderId="0" xfId="0" quotePrefix="1"/>
    <xf numFmtId="0" fontId="6" fillId="7" borderId="0" xfId="0" applyFont="1" applyFill="1"/>
    <xf numFmtId="0" fontId="6" fillId="0" borderId="0" xfId="0" applyFont="1" applyFill="1"/>
    <xf numFmtId="0" fontId="6" fillId="0" borderId="0" xfId="0" applyFont="1" applyFill="1" applyProtection="1"/>
    <xf numFmtId="164" fontId="6" fillId="2" borderId="3" xfId="0" applyNumberFormat="1" applyFont="1" applyFill="1" applyBorder="1" applyProtection="1"/>
    <xf numFmtId="3" fontId="6" fillId="2" borderId="3" xfId="0" applyNumberFormat="1" applyFont="1" applyFill="1" applyBorder="1" applyProtection="1"/>
    <xf numFmtId="0" fontId="7" fillId="0" borderId="0" xfId="0" applyFont="1"/>
    <xf numFmtId="0" fontId="12" fillId="0" borderId="0" xfId="0" applyFont="1"/>
    <xf numFmtId="0" fontId="6" fillId="0" borderId="0" xfId="0" applyFont="1" applyBorder="1" applyAlignment="1">
      <alignment horizontal="left" vertical="top" wrapText="1"/>
    </xf>
    <xf numFmtId="0" fontId="6" fillId="0" borderId="0" xfId="0" applyFont="1" applyBorder="1" applyAlignment="1">
      <alignment horizontal="left"/>
    </xf>
    <xf numFmtId="0" fontId="6" fillId="0" borderId="0" xfId="0" applyFont="1" applyBorder="1" applyAlignment="1">
      <alignment horizontal="center" vertical="top" wrapText="1"/>
    </xf>
    <xf numFmtId="0" fontId="6" fillId="0" borderId="3" xfId="0" applyFont="1" applyBorder="1" applyAlignment="1">
      <alignment vertical="top"/>
    </xf>
    <xf numFmtId="0" fontId="6" fillId="0" borderId="3" xfId="0" applyFont="1" applyBorder="1" applyAlignment="1">
      <alignment vertical="top" wrapText="1"/>
    </xf>
    <xf numFmtId="0" fontId="11" fillId="0" borderId="0" xfId="0" applyFont="1" applyFill="1"/>
    <xf numFmtId="164" fontId="6" fillId="5" borderId="3" xfId="1" applyNumberFormat="1" applyFont="1" applyFill="1" applyBorder="1" applyProtection="1">
      <protection locked="0"/>
    </xf>
    <xf numFmtId="165" fontId="6" fillId="5" borderId="0" xfId="0" applyNumberFormat="1" applyFont="1" applyFill="1" applyBorder="1" applyProtection="1">
      <protection locked="0"/>
    </xf>
    <xf numFmtId="165" fontId="6" fillId="0" borderId="0" xfId="0" applyNumberFormat="1" applyFont="1" applyFill="1" applyBorder="1" applyProtection="1">
      <protection locked="0"/>
    </xf>
    <xf numFmtId="10" fontId="6" fillId="5" borderId="0" xfId="1" applyNumberFormat="1" applyFont="1" applyFill="1" applyBorder="1" applyProtection="1">
      <protection locked="0"/>
    </xf>
    <xf numFmtId="0" fontId="13" fillId="0" borderId="0" xfId="0" applyFont="1" applyProtection="1"/>
    <xf numFmtId="3" fontId="6" fillId="5" borderId="0" xfId="1" applyNumberFormat="1" applyFont="1" applyFill="1" applyBorder="1" applyProtection="1">
      <protection locked="0"/>
    </xf>
    <xf numFmtId="0" fontId="16" fillId="0" borderId="0" xfId="0" applyFont="1" applyProtection="1"/>
    <xf numFmtId="1" fontId="16" fillId="0" borderId="0" xfId="0" applyNumberFormat="1" applyFont="1" applyProtection="1"/>
    <xf numFmtId="0" fontId="6" fillId="0" borderId="0" xfId="0" quotePrefix="1" applyFont="1" applyProtection="1"/>
    <xf numFmtId="0" fontId="19" fillId="2" borderId="20" xfId="4" applyFont="1" applyFill="1" applyBorder="1" applyAlignment="1">
      <alignment horizontal="center"/>
    </xf>
    <xf numFmtId="0" fontId="19" fillId="2" borderId="3" xfId="4" applyFont="1" applyFill="1" applyBorder="1" applyAlignment="1">
      <alignment horizontal="center"/>
    </xf>
    <xf numFmtId="167" fontId="6" fillId="5" borderId="0" xfId="0" applyNumberFormat="1" applyFont="1" applyFill="1" applyBorder="1" applyProtection="1">
      <protection locked="0"/>
    </xf>
    <xf numFmtId="8" fontId="7" fillId="0" borderId="14" xfId="0" applyNumberFormat="1" applyFont="1" applyBorder="1" applyProtection="1"/>
    <xf numFmtId="0" fontId="7" fillId="0" borderId="10" xfId="0" applyFont="1" applyBorder="1" applyAlignment="1" applyProtection="1">
      <alignment horizontal="center" wrapText="1"/>
    </xf>
    <xf numFmtId="0" fontId="7" fillId="0" borderId="13" xfId="0" applyFont="1" applyBorder="1" applyAlignment="1" applyProtection="1">
      <alignment horizontal="center" wrapText="1"/>
    </xf>
    <xf numFmtId="3" fontId="7" fillId="2" borderId="11" xfId="0" applyNumberFormat="1" applyFont="1" applyFill="1" applyBorder="1" applyAlignment="1" applyProtection="1">
      <alignment horizontal="center"/>
    </xf>
    <xf numFmtId="3" fontId="7" fillId="0" borderId="11" xfId="0" applyNumberFormat="1" applyFont="1" applyFill="1" applyBorder="1" applyAlignment="1" applyProtection="1">
      <alignment horizontal="center"/>
    </xf>
    <xf numFmtId="166" fontId="6" fillId="5" borderId="3" xfId="0" applyNumberFormat="1" applyFont="1" applyFill="1" applyBorder="1" applyProtection="1">
      <protection locked="0"/>
    </xf>
    <xf numFmtId="0" fontId="18" fillId="0" borderId="0" xfId="0" applyFont="1" applyProtection="1"/>
    <xf numFmtId="0" fontId="21" fillId="0" borderId="0" xfId="0" quotePrefix="1" applyFont="1"/>
    <xf numFmtId="165" fontId="7" fillId="3" borderId="6" xfId="0" applyNumberFormat="1" applyFont="1" applyFill="1" applyBorder="1" applyProtection="1">
      <protection locked="0"/>
    </xf>
    <xf numFmtId="165" fontId="7" fillId="2" borderId="0" xfId="0" applyNumberFormat="1" applyFont="1" applyFill="1" applyProtection="1"/>
    <xf numFmtId="165" fontId="6" fillId="0" borderId="0" xfId="0" applyNumberFormat="1" applyFont="1" applyProtection="1"/>
    <xf numFmtId="165" fontId="7" fillId="0" borderId="1" xfId="0" applyNumberFormat="1" applyFont="1" applyBorder="1" applyProtection="1"/>
    <xf numFmtId="0" fontId="6" fillId="0" borderId="6" xfId="0" applyFont="1" applyBorder="1" applyProtection="1"/>
    <xf numFmtId="0" fontId="6" fillId="0" borderId="6" xfId="0" quotePrefix="1" applyFont="1" applyBorder="1" applyProtection="1"/>
    <xf numFmtId="165" fontId="6" fillId="3" borderId="6" xfId="0" applyNumberFormat="1" applyFont="1" applyFill="1" applyBorder="1" applyProtection="1">
      <protection locked="0"/>
    </xf>
    <xf numFmtId="0" fontId="6" fillId="0" borderId="0" xfId="0" quotePrefix="1" applyFont="1" applyBorder="1" applyAlignment="1" applyProtection="1">
      <alignment vertical="center"/>
    </xf>
    <xf numFmtId="0" fontId="6" fillId="0" borderId="0" xfId="0" applyFont="1" applyBorder="1" applyAlignment="1" applyProtection="1">
      <alignment vertical="center"/>
    </xf>
    <xf numFmtId="165" fontId="6" fillId="5" borderId="0" xfId="0" applyNumberFormat="1" applyFont="1" applyFill="1" applyBorder="1" applyAlignment="1" applyProtection="1">
      <alignment vertical="center"/>
      <protection locked="0"/>
    </xf>
    <xf numFmtId="168" fontId="6" fillId="0" borderId="0" xfId="8" applyNumberFormat="1" applyFont="1" applyBorder="1" applyProtection="1"/>
    <xf numFmtId="0" fontId="6" fillId="6" borderId="3" xfId="0" applyFont="1" applyFill="1" applyBorder="1" applyAlignment="1">
      <alignment horizontal="center"/>
    </xf>
    <xf numFmtId="8" fontId="6" fillId="0" borderId="3" xfId="0" applyNumberFormat="1" applyFont="1" applyBorder="1" applyAlignment="1">
      <alignment horizontal="center" vertical="top"/>
    </xf>
    <xf numFmtId="8" fontId="6" fillId="0" borderId="3" xfId="0" applyNumberFormat="1" applyFont="1" applyBorder="1" applyAlignment="1">
      <alignment horizontal="left" vertical="top"/>
    </xf>
    <xf numFmtId="0" fontId="23" fillId="0" borderId="0" xfId="0" applyFont="1" applyProtection="1"/>
    <xf numFmtId="165" fontId="6" fillId="3" borderId="0" xfId="0" applyNumberFormat="1" applyFont="1" applyFill="1" applyBorder="1" applyProtection="1">
      <protection locked="0"/>
    </xf>
    <xf numFmtId="3" fontId="6" fillId="5" borderId="0" xfId="0" applyNumberFormat="1" applyFont="1" applyFill="1" applyProtection="1"/>
    <xf numFmtId="0" fontId="15" fillId="0" borderId="0" xfId="6" applyFont="1" applyAlignment="1" applyProtection="1">
      <alignment vertical="top"/>
    </xf>
    <xf numFmtId="0" fontId="15" fillId="8" borderId="0" xfId="6" applyFont="1" applyFill="1" applyAlignment="1" applyProtection="1">
      <alignment vertical="top"/>
    </xf>
    <xf numFmtId="0" fontId="6" fillId="8" borderId="0" xfId="0" applyFont="1" applyFill="1"/>
    <xf numFmtId="2" fontId="6" fillId="7" borderId="0" xfId="0" applyNumberFormat="1" applyFont="1" applyFill="1"/>
    <xf numFmtId="1" fontId="6" fillId="7" borderId="0" xfId="0" applyNumberFormat="1" applyFont="1" applyFill="1"/>
    <xf numFmtId="0" fontId="24" fillId="0" borderId="0" xfId="0" applyFont="1" applyProtection="1"/>
    <xf numFmtId="0" fontId="25" fillId="0" borderId="0" xfId="0" applyFont="1" applyProtection="1"/>
    <xf numFmtId="0" fontId="16" fillId="0" borderId="0" xfId="0" applyFont="1" applyAlignment="1" applyProtection="1">
      <alignment horizontal="left"/>
    </xf>
    <xf numFmtId="2" fontId="6" fillId="2" borderId="3" xfId="0" applyNumberFormat="1" applyFont="1" applyFill="1" applyBorder="1" applyProtection="1"/>
    <xf numFmtId="0" fontId="25" fillId="0" borderId="0" xfId="0" applyFont="1" applyAlignment="1" applyProtection="1">
      <alignment horizontal="left" vertical="top"/>
    </xf>
    <xf numFmtId="0" fontId="10" fillId="0" borderId="0" xfId="0" applyFont="1" applyFill="1" applyProtection="1"/>
    <xf numFmtId="170" fontId="6" fillId="5" borderId="3" xfId="0" applyNumberFormat="1" applyFont="1" applyFill="1" applyBorder="1" applyProtection="1">
      <protection locked="0"/>
    </xf>
    <xf numFmtId="165" fontId="6" fillId="0" borderId="0" xfId="0" applyNumberFormat="1" applyFont="1" applyFill="1" applyBorder="1" applyAlignment="1" applyProtection="1">
      <alignment horizontal="right"/>
      <protection locked="0"/>
    </xf>
    <xf numFmtId="0" fontId="6" fillId="0" borderId="0" xfId="0" applyFont="1" applyFill="1" applyAlignment="1">
      <alignment vertical="top"/>
    </xf>
    <xf numFmtId="0" fontId="7" fillId="0" borderId="0" xfId="0" applyFont="1" applyFill="1"/>
    <xf numFmtId="0" fontId="6" fillId="0" borderId="0" xfId="0" applyFont="1" applyFill="1" applyBorder="1" applyAlignment="1" applyProtection="1">
      <alignment horizontal="left"/>
    </xf>
    <xf numFmtId="0" fontId="9" fillId="0" borderId="0" xfId="0" applyFont="1" applyProtection="1"/>
    <xf numFmtId="43" fontId="6" fillId="0" borderId="0" xfId="7" applyFont="1" applyBorder="1" applyProtection="1"/>
    <xf numFmtId="165" fontId="6" fillId="3" borderId="3" xfId="0" applyNumberFormat="1" applyFont="1" applyFill="1" applyBorder="1" applyAlignment="1" applyProtection="1">
      <alignment horizontal="left"/>
      <protection locked="0"/>
    </xf>
    <xf numFmtId="0" fontId="7" fillId="6" borderId="3" xfId="0" applyFont="1" applyFill="1" applyBorder="1"/>
    <xf numFmtId="0" fontId="6" fillId="0" borderId="0" xfId="0" applyFont="1" applyAlignment="1"/>
    <xf numFmtId="0" fontId="6" fillId="0" borderId="0" xfId="0" applyFont="1" applyAlignment="1">
      <alignment vertical="top"/>
    </xf>
    <xf numFmtId="0" fontId="16" fillId="0" borderId="0" xfId="0" applyFont="1"/>
    <xf numFmtId="165" fontId="6" fillId="5" borderId="3" xfId="0" applyNumberFormat="1" applyFont="1" applyFill="1" applyBorder="1" applyAlignment="1" applyProtection="1">
      <alignment horizontal="left"/>
      <protection locked="0"/>
    </xf>
    <xf numFmtId="3" fontId="6" fillId="2" borderId="3" xfId="0" applyNumberFormat="1" applyFont="1" applyFill="1" applyBorder="1" applyAlignment="1" applyProtection="1">
      <alignment horizontal="left"/>
    </xf>
    <xf numFmtId="0" fontId="6" fillId="0" borderId="3" xfId="0" applyFont="1" applyBorder="1" applyAlignment="1">
      <alignment horizontal="left"/>
    </xf>
    <xf numFmtId="0" fontId="7" fillId="0" borderId="3" xfId="0" applyFont="1" applyBorder="1" applyAlignment="1">
      <alignment vertical="top"/>
    </xf>
    <xf numFmtId="0" fontId="7" fillId="0" borderId="3" xfId="0" applyFont="1" applyBorder="1" applyAlignment="1">
      <alignment vertical="top" wrapText="1"/>
    </xf>
    <xf numFmtId="0" fontId="7" fillId="0" borderId="3" xfId="0" applyFont="1" applyBorder="1" applyAlignment="1">
      <alignment horizontal="left" vertical="top" wrapText="1"/>
    </xf>
    <xf numFmtId="0" fontId="11" fillId="0" borderId="0" xfId="0" applyFont="1"/>
    <xf numFmtId="0" fontId="0" fillId="0" borderId="0" xfId="0" applyAlignment="1">
      <alignment vertical="top" wrapText="1"/>
    </xf>
    <xf numFmtId="0" fontId="26"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7" fillId="7" borderId="0" xfId="0" applyFont="1" applyFill="1"/>
    <xf numFmtId="0" fontId="6" fillId="7" borderId="0" xfId="0" applyFont="1" applyFill="1" applyAlignment="1">
      <alignment horizontal="right"/>
    </xf>
    <xf numFmtId="172" fontId="6" fillId="5" borderId="3" xfId="7" applyNumberFormat="1" applyFont="1" applyFill="1" applyBorder="1" applyProtection="1">
      <protection locked="0"/>
    </xf>
    <xf numFmtId="169" fontId="6" fillId="0" borderId="1" xfId="7" applyNumberFormat="1" applyFont="1" applyFill="1" applyBorder="1" applyProtection="1">
      <protection locked="0"/>
    </xf>
    <xf numFmtId="0" fontId="28" fillId="0" borderId="0" xfId="0" applyFont="1" applyFill="1"/>
    <xf numFmtId="171" fontId="6" fillId="5" borderId="3" xfId="0" applyNumberFormat="1" applyFont="1" applyFill="1" applyBorder="1"/>
    <xf numFmtId="0" fontId="6" fillId="7" borderId="0" xfId="0" applyFont="1" applyFill="1" applyAlignment="1">
      <alignment horizontal="left"/>
    </xf>
    <xf numFmtId="0" fontId="24" fillId="0" borderId="12" xfId="0" applyFont="1" applyBorder="1" applyAlignment="1" applyProtection="1">
      <alignment horizontal="right"/>
    </xf>
    <xf numFmtId="0" fontId="24" fillId="0" borderId="2" xfId="0" applyFont="1" applyBorder="1" applyAlignment="1" applyProtection="1">
      <alignment vertical="center" textRotation="90"/>
    </xf>
    <xf numFmtId="0" fontId="24" fillId="0" borderId="5" xfId="0" applyFont="1" applyBorder="1" applyAlignment="1" applyProtection="1">
      <alignment vertical="center" textRotation="90"/>
    </xf>
    <xf numFmtId="0" fontId="24" fillId="9" borderId="0" xfId="0" applyFont="1" applyFill="1" applyBorder="1" applyProtection="1"/>
    <xf numFmtId="0" fontId="7" fillId="9" borderId="0" xfId="0" applyFont="1" applyFill="1" applyBorder="1" applyProtection="1"/>
    <xf numFmtId="0" fontId="6" fillId="9" borderId="0" xfId="0" applyFont="1" applyFill="1" applyBorder="1" applyProtection="1"/>
    <xf numFmtId="0" fontId="24" fillId="9" borderId="18" xfId="0" applyFont="1" applyFill="1" applyBorder="1" applyProtection="1"/>
    <xf numFmtId="0" fontId="29" fillId="9" borderId="18" xfId="0" applyFont="1" applyFill="1" applyBorder="1" applyProtection="1"/>
    <xf numFmtId="0" fontId="7" fillId="9" borderId="18" xfId="0" applyFont="1" applyFill="1" applyBorder="1" applyProtection="1"/>
    <xf numFmtId="0" fontId="6" fillId="9" borderId="18" xfId="0" applyFont="1" applyFill="1" applyBorder="1" applyProtection="1"/>
    <xf numFmtId="0" fontId="27" fillId="9" borderId="0" xfId="0" applyFont="1" applyFill="1" applyBorder="1" applyProtection="1"/>
    <xf numFmtId="0" fontId="6" fillId="0" borderId="24" xfId="0" applyFont="1" applyBorder="1" applyAlignment="1" applyProtection="1">
      <alignment vertical="center"/>
    </xf>
    <xf numFmtId="0" fontId="6" fillId="0" borderId="6" xfId="0" applyFont="1" applyBorder="1" applyAlignment="1" applyProtection="1">
      <alignment vertical="center"/>
    </xf>
    <xf numFmtId="173" fontId="18" fillId="2" borderId="3" xfId="4" applyNumberFormat="1" applyFont="1" applyFill="1" applyBorder="1" applyAlignment="1">
      <alignment horizontal="right"/>
    </xf>
    <xf numFmtId="0" fontId="18" fillId="2" borderId="3" xfId="4" applyFont="1" applyFill="1" applyBorder="1" applyAlignment="1"/>
    <xf numFmtId="0" fontId="6" fillId="0" borderId="0" xfId="0" applyFont="1" applyAlignment="1" applyProtection="1">
      <alignment horizontal="right"/>
    </xf>
    <xf numFmtId="0" fontId="6"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6" fillId="5" borderId="25" xfId="0" applyNumberFormat="1" applyFont="1" applyFill="1" applyBorder="1" applyAlignment="1" applyProtection="1">
      <alignment horizontal="center"/>
      <protection locked="0"/>
    </xf>
    <xf numFmtId="0" fontId="0" fillId="0" borderId="0" xfId="0" applyAlignment="1">
      <alignment vertical="top"/>
    </xf>
    <xf numFmtId="0" fontId="38" fillId="0" borderId="10" xfId="9" applyFill="1" applyBorder="1" applyAlignment="1" applyProtection="1">
      <alignment horizontal="center" vertical="center"/>
      <protection locked="0"/>
    </xf>
    <xf numFmtId="0" fontId="38" fillId="0" borderId="11" xfId="9" applyFill="1" applyBorder="1" applyAlignment="1" applyProtection="1">
      <alignment horizontal="center" vertical="center"/>
      <protection locked="0"/>
    </xf>
    <xf numFmtId="0" fontId="0" fillId="0" borderId="10" xfId="0" applyBorder="1"/>
    <xf numFmtId="0" fontId="0" fillId="0" borderId="11" xfId="0" applyBorder="1"/>
    <xf numFmtId="0" fontId="0" fillId="0" borderId="12" xfId="0" applyBorder="1"/>
    <xf numFmtId="1" fontId="0" fillId="0" borderId="13" xfId="0" applyNumberFormat="1" applyBorder="1"/>
    <xf numFmtId="1" fontId="0" fillId="0" borderId="27" xfId="0" applyNumberFormat="1" applyBorder="1"/>
    <xf numFmtId="166" fontId="0" fillId="0" borderId="28" xfId="0" applyNumberFormat="1" applyBorder="1"/>
    <xf numFmtId="1" fontId="0" fillId="0" borderId="28" xfId="0" applyNumberFormat="1" applyBorder="1"/>
    <xf numFmtId="166" fontId="0" fillId="0" borderId="29" xfId="0" applyNumberFormat="1" applyBorder="1"/>
    <xf numFmtId="1" fontId="0" fillId="0" borderId="14" xfId="0" applyNumberFormat="1" applyBorder="1"/>
    <xf numFmtId="166" fontId="0" fillId="0" borderId="0" xfId="0" applyNumberFormat="1"/>
    <xf numFmtId="170" fontId="0" fillId="0" borderId="0" xfId="0" applyNumberFormat="1"/>
    <xf numFmtId="0" fontId="0" fillId="0" borderId="10" xfId="9" applyFont="1" applyFill="1" applyBorder="1" applyAlignment="1" applyProtection="1">
      <alignment horizontal="center" vertical="center"/>
      <protection locked="0"/>
    </xf>
    <xf numFmtId="0" fontId="0" fillId="0" borderId="13" xfId="0" applyBorder="1"/>
    <xf numFmtId="0" fontId="0" fillId="0" borderId="27" xfId="0" applyBorder="1"/>
    <xf numFmtId="0" fontId="0" fillId="0" borderId="28" xfId="0" applyBorder="1"/>
    <xf numFmtId="0" fontId="0" fillId="0" borderId="0" xfId="9" applyFont="1" applyFill="1" applyBorder="1" applyAlignment="1" applyProtection="1">
      <alignment horizontal="center" vertical="center"/>
      <protection locked="0"/>
    </xf>
    <xf numFmtId="2" fontId="3" fillId="0" borderId="0" xfId="0" applyNumberFormat="1" applyFont="1" applyBorder="1"/>
    <xf numFmtId="0" fontId="0" fillId="0" borderId="11" xfId="9" applyFont="1" applyFill="1" applyBorder="1" applyAlignment="1" applyProtection="1">
      <alignment horizontal="center" vertical="center"/>
      <protection locked="0"/>
    </xf>
    <xf numFmtId="0" fontId="0" fillId="0" borderId="12" xfId="0" applyFont="1" applyBorder="1" applyAlignment="1">
      <alignment horizontal="center"/>
    </xf>
    <xf numFmtId="8" fontId="3" fillId="0" borderId="6" xfId="0" applyNumberFormat="1" applyFont="1" applyBorder="1"/>
    <xf numFmtId="2" fontId="0" fillId="0" borderId="26" xfId="0" applyNumberFormat="1" applyBorder="1"/>
    <xf numFmtId="2" fontId="0" fillId="0" borderId="30" xfId="0" applyNumberFormat="1" applyBorder="1"/>
    <xf numFmtId="166" fontId="0" fillId="0" borderId="0" xfId="0" applyNumberFormat="1" applyBorder="1"/>
    <xf numFmtId="2" fontId="0" fillId="0" borderId="6" xfId="0" applyNumberFormat="1" applyBorder="1"/>
    <xf numFmtId="0" fontId="0" fillId="0" borderId="0" xfId="0" applyFill="1" applyBorder="1"/>
    <xf numFmtId="0" fontId="38" fillId="0" borderId="0" xfId="9" applyFill="1" applyBorder="1" applyAlignment="1" applyProtection="1">
      <alignment horizontal="center" vertical="center"/>
      <protection locked="0"/>
    </xf>
    <xf numFmtId="0" fontId="2" fillId="0" borderId="11" xfId="9" applyFont="1" applyFill="1" applyBorder="1" applyAlignment="1" applyProtection="1">
      <alignment horizontal="center" vertical="center"/>
      <protection locked="0"/>
    </xf>
    <xf numFmtId="0" fontId="2" fillId="0" borderId="12" xfId="9" applyFont="1" applyFill="1" applyBorder="1" applyAlignment="1" applyProtection="1">
      <alignment horizontal="center" vertical="center"/>
      <protection locked="0"/>
    </xf>
    <xf numFmtId="166" fontId="0" fillId="0" borderId="14" xfId="0" applyNumberFormat="1" applyBorder="1"/>
    <xf numFmtId="166" fontId="0" fillId="0" borderId="26" xfId="0" applyNumberFormat="1" applyBorder="1"/>
    <xf numFmtId="0" fontId="6" fillId="0" borderId="3" xfId="0" applyFont="1" applyFill="1" applyBorder="1" applyAlignment="1">
      <alignment vertical="top"/>
    </xf>
    <xf numFmtId="0" fontId="6" fillId="0" borderId="3" xfId="0" applyFont="1" applyFill="1" applyBorder="1" applyAlignment="1">
      <alignment vertical="top" wrapText="1"/>
    </xf>
    <xf numFmtId="8" fontId="6" fillId="0" borderId="3" xfId="0" applyNumberFormat="1" applyFont="1" applyFill="1" applyBorder="1" applyAlignment="1">
      <alignment horizontal="center" vertical="top"/>
    </xf>
    <xf numFmtId="8" fontId="0" fillId="0" borderId="0" xfId="0" applyNumberFormat="1"/>
    <xf numFmtId="6" fontId="3" fillId="0" borderId="0" xfId="9" applyNumberFormat="1" applyFont="1" applyFill="1" applyBorder="1" applyAlignment="1" applyProtection="1">
      <alignment horizontal="center" vertical="center"/>
      <protection locked="0"/>
    </xf>
    <xf numFmtId="166" fontId="0" fillId="0" borderId="30" xfId="0" applyNumberFormat="1" applyBorder="1"/>
    <xf numFmtId="6" fontId="3" fillId="0" borderId="6" xfId="0" applyNumberFormat="1" applyFont="1" applyBorder="1" applyAlignment="1">
      <alignment horizontal="center"/>
    </xf>
    <xf numFmtId="2" fontId="0" fillId="0" borderId="0" xfId="0" applyNumberFormat="1" applyBorder="1"/>
    <xf numFmtId="3" fontId="0" fillId="0" borderId="28" xfId="0" applyNumberFormat="1" applyBorder="1"/>
    <xf numFmtId="0" fontId="1" fillId="0" borderId="11" xfId="9" applyFont="1" applyFill="1" applyBorder="1" applyAlignment="1" applyProtection="1">
      <alignment horizontal="center" vertical="center"/>
      <protection locked="0"/>
    </xf>
    <xf numFmtId="175" fontId="0" fillId="0" borderId="0" xfId="0" applyNumberFormat="1"/>
    <xf numFmtId="166" fontId="40" fillId="0" borderId="28" xfId="0" applyNumberFormat="1" applyFont="1" applyBorder="1"/>
    <xf numFmtId="4" fontId="39" fillId="0" borderId="0" xfId="0" applyNumberFormat="1" applyFont="1" applyBorder="1"/>
    <xf numFmtId="4" fontId="39" fillId="0" borderId="30" xfId="0" applyNumberFormat="1" applyFont="1" applyBorder="1"/>
    <xf numFmtId="2" fontId="0" fillId="0" borderId="14" xfId="0" applyNumberFormat="1" applyFill="1" applyBorder="1"/>
    <xf numFmtId="2" fontId="0" fillId="0" borderId="13" xfId="0" applyNumberFormat="1" applyBorder="1"/>
    <xf numFmtId="0" fontId="0" fillId="0" borderId="0" xfId="0" applyAlignment="1">
      <alignment horizontal="right"/>
    </xf>
    <xf numFmtId="0" fontId="6" fillId="0" borderId="0" xfId="0" applyFont="1" applyAlignment="1">
      <alignment horizontal="left" vertical="top" wrapText="1"/>
    </xf>
    <xf numFmtId="0" fontId="6" fillId="0" borderId="7" xfId="0" applyFont="1" applyBorder="1" applyAlignment="1">
      <alignment horizontal="left"/>
    </xf>
    <xf numFmtId="0" fontId="6" fillId="0" borderId="9" xfId="0" applyFont="1" applyBorder="1" applyAlignment="1">
      <alignment horizontal="left"/>
    </xf>
    <xf numFmtId="0" fontId="6" fillId="0" borderId="3" xfId="0" applyFont="1" applyBorder="1" applyAlignment="1">
      <alignment horizontal="center" vertical="top" wrapText="1"/>
    </xf>
    <xf numFmtId="0" fontId="6" fillId="0" borderId="3" xfId="0" applyFont="1" applyBorder="1" applyAlignment="1">
      <alignment vertical="top" wrapText="1"/>
    </xf>
    <xf numFmtId="0" fontId="6" fillId="0" borderId="15" xfId="0" applyFont="1" applyBorder="1" applyAlignment="1">
      <alignment horizontal="left" vertical="top"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7" fillId="6" borderId="3" xfId="0" applyFont="1" applyFill="1" applyBorder="1" applyAlignment="1">
      <alignment horizontal="left" vertical="top"/>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7" fillId="6" borderId="7" xfId="0" applyFont="1" applyFill="1" applyBorder="1" applyAlignment="1">
      <alignment horizontal="left" vertical="top"/>
    </xf>
    <xf numFmtId="0" fontId="7" fillId="6" borderId="9" xfId="0" applyFont="1" applyFill="1" applyBorder="1" applyAlignment="1">
      <alignment horizontal="left" vertical="top"/>
    </xf>
    <xf numFmtId="0" fontId="6" fillId="0" borderId="7" xfId="0" applyFont="1" applyBorder="1" applyAlignment="1">
      <alignment horizontal="left" vertical="top"/>
    </xf>
    <xf numFmtId="0" fontId="6" fillId="0" borderId="9" xfId="0" applyFont="1" applyBorder="1" applyAlignment="1">
      <alignment horizontal="left" vertical="top"/>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6" borderId="3" xfId="0" applyFont="1" applyFill="1" applyBorder="1" applyAlignment="1">
      <alignment horizontal="center" vertical="center"/>
    </xf>
    <xf numFmtId="0" fontId="7" fillId="6" borderId="21" xfId="0" applyFont="1" applyFill="1" applyBorder="1" applyAlignment="1">
      <alignment horizontal="left" vertical="top" wrapText="1"/>
    </xf>
    <xf numFmtId="0" fontId="7" fillId="6" borderId="20" xfId="0" applyFont="1" applyFill="1" applyBorder="1" applyAlignment="1">
      <alignment horizontal="left" vertical="top" wrapText="1"/>
    </xf>
    <xf numFmtId="0" fontId="7" fillId="6" borderId="21" xfId="0" applyFont="1" applyFill="1" applyBorder="1" applyAlignment="1">
      <alignment horizontal="left" vertical="top"/>
    </xf>
    <xf numFmtId="0" fontId="7" fillId="6" borderId="20" xfId="0" applyFont="1" applyFill="1" applyBorder="1" applyAlignment="1">
      <alignment horizontal="left" vertical="top"/>
    </xf>
    <xf numFmtId="0" fontId="20" fillId="2" borderId="15" xfId="4" applyFont="1" applyFill="1" applyBorder="1" applyAlignment="1">
      <alignment horizontal="left" vertical="top"/>
    </xf>
    <xf numFmtId="0" fontId="20" fillId="2" borderId="16" xfId="4" applyFont="1" applyFill="1" applyBorder="1" applyAlignment="1">
      <alignment horizontal="left" vertical="top"/>
    </xf>
    <xf numFmtId="0" fontId="20" fillId="2" borderId="17" xfId="4" applyFont="1" applyFill="1" applyBorder="1" applyAlignment="1">
      <alignment horizontal="left" vertical="top"/>
    </xf>
    <xf numFmtId="0" fontId="20" fillId="2" borderId="19" xfId="4" applyFont="1" applyFill="1" applyBorder="1" applyAlignment="1">
      <alignment horizontal="left" vertical="top"/>
    </xf>
    <xf numFmtId="0" fontId="18" fillId="2" borderId="3" xfId="4" applyFont="1" applyFill="1" applyBorder="1" applyAlignment="1">
      <alignment horizontal="center" vertical="center" wrapText="1"/>
    </xf>
    <xf numFmtId="0" fontId="27" fillId="9" borderId="16" xfId="0" applyFont="1" applyFill="1" applyBorder="1" applyAlignment="1" applyProtection="1">
      <alignment horizontal="center" vertical="center" textRotation="90"/>
    </xf>
    <xf numFmtId="0" fontId="27" fillId="9" borderId="23" xfId="0" applyFont="1" applyFill="1" applyBorder="1" applyAlignment="1" applyProtection="1">
      <alignment horizontal="center" vertical="center" textRotation="90"/>
    </xf>
    <xf numFmtId="0" fontId="27" fillId="9" borderId="19" xfId="0" applyFont="1" applyFill="1" applyBorder="1" applyAlignment="1" applyProtection="1">
      <alignment horizontal="center" vertical="center" textRotation="90"/>
    </xf>
    <xf numFmtId="0" fontId="27" fillId="9" borderId="22" xfId="0" applyFont="1" applyFill="1" applyBorder="1" applyAlignment="1" applyProtection="1">
      <alignment horizontal="center" vertical="center" textRotation="90" wrapText="1"/>
    </xf>
    <xf numFmtId="0" fontId="27" fillId="9" borderId="20" xfId="0" applyFont="1" applyFill="1" applyBorder="1" applyAlignment="1" applyProtection="1">
      <alignment horizontal="center" vertical="center" textRotation="90" wrapText="1"/>
    </xf>
    <xf numFmtId="0" fontId="27" fillId="9" borderId="4" xfId="0" applyFont="1" applyFill="1" applyBorder="1" applyAlignment="1" applyProtection="1">
      <alignment horizontal="center" vertical="center" textRotation="90" wrapText="1"/>
    </xf>
    <xf numFmtId="0" fontId="27" fillId="9" borderId="5" xfId="0" applyFont="1" applyFill="1" applyBorder="1" applyAlignment="1" applyProtection="1">
      <alignment horizontal="center" vertical="center" textRotation="90" wrapText="1"/>
    </xf>
    <xf numFmtId="0" fontId="27" fillId="9" borderId="2" xfId="0" applyFont="1" applyFill="1" applyBorder="1" applyAlignment="1" applyProtection="1">
      <alignment horizontal="center" vertical="center" textRotation="90" wrapText="1"/>
    </xf>
    <xf numFmtId="0" fontId="24" fillId="9" borderId="5" xfId="0" applyFont="1" applyFill="1" applyBorder="1" applyAlignment="1" applyProtection="1">
      <alignment horizontal="center" vertical="center" textRotation="90" wrapText="1"/>
    </xf>
    <xf numFmtId="0" fontId="0" fillId="0" borderId="10" xfId="0" applyBorder="1" applyAlignment="1">
      <alignment horizontal="center" vertical="center" wrapText="1"/>
    </xf>
    <xf numFmtId="0" fontId="0" fillId="0" borderId="30"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26" xfId="0" applyBorder="1" applyAlignment="1">
      <alignment horizontal="center" vertical="center" wrapText="1"/>
    </xf>
    <xf numFmtId="0" fontId="0" fillId="0" borderId="27" xfId="0" applyFill="1" applyBorder="1"/>
    <xf numFmtId="0" fontId="0" fillId="0" borderId="0" xfId="0" applyFill="1"/>
    <xf numFmtId="181" fontId="0" fillId="0" borderId="0" xfId="0" applyNumberFormat="1"/>
    <xf numFmtId="176" fontId="0" fillId="0" borderId="0" xfId="0" applyNumberFormat="1"/>
    <xf numFmtId="6" fontId="0" fillId="0" borderId="0" xfId="0" applyNumberFormat="1"/>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Normal_Workings baseline" xfId="9" xr:uid="{00000000-0005-0000-0000-000008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29"/>
      <c r="B6" s="130" t="s">
        <v>242</v>
      </c>
      <c r="C6" s="130" t="s">
        <v>243</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338</v>
      </c>
    </row>
    <row r="10" spans="1:5" ht="21.75" customHeight="1" x14ac:dyDescent="0.25">
      <c r="D10" s="134">
        <v>41649</v>
      </c>
      <c r="E10" s="133" t="s">
        <v>339</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301</v>
      </c>
      <c r="C7" s="31" t="s">
        <v>332</v>
      </c>
    </row>
    <row r="8" spans="2:3" x14ac:dyDescent="0.3">
      <c r="B8" s="98" t="s">
        <v>302</v>
      </c>
      <c r="C8" s="31" t="s">
        <v>303</v>
      </c>
    </row>
    <row r="9" spans="2:3" ht="30" x14ac:dyDescent="0.3">
      <c r="B9" s="97" t="s">
        <v>225</v>
      </c>
      <c r="C9" s="31" t="s">
        <v>331</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311</v>
      </c>
      <c r="C25" s="91"/>
      <c r="D25" s="91"/>
    </row>
    <row r="26" spans="2:4" ht="32.25" customHeight="1" x14ac:dyDescent="0.3">
      <c r="B26" s="186" t="s">
        <v>223</v>
      </c>
      <c r="C26" s="186"/>
      <c r="D26" s="186"/>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24" activePane="bottomLeft" state="frozen"/>
      <selection activeCell="A7" sqref="A7"/>
      <selection pane="bottomLeft" activeCell="G34" sqref="G34"/>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336</v>
      </c>
      <c r="Z1" s="26" t="s">
        <v>29</v>
      </c>
    </row>
    <row r="2" spans="2:26" x14ac:dyDescent="0.3">
      <c r="B2" s="191" t="s">
        <v>375</v>
      </c>
      <c r="C2" s="192"/>
      <c r="D2" s="192"/>
      <c r="E2" s="192"/>
      <c r="F2" s="193"/>
      <c r="Z2" s="26" t="s">
        <v>79</v>
      </c>
    </row>
    <row r="3" spans="2:26" ht="24.75" customHeight="1" x14ac:dyDescent="0.3">
      <c r="B3" s="194"/>
      <c r="C3" s="195"/>
      <c r="D3" s="195"/>
      <c r="E3" s="195"/>
      <c r="F3" s="196"/>
    </row>
    <row r="4" spans="2:26" ht="18" customHeight="1" x14ac:dyDescent="0.3">
      <c r="B4" s="25" t="s">
        <v>78</v>
      </c>
      <c r="C4" s="27"/>
      <c r="D4" s="27"/>
      <c r="E4" s="27"/>
      <c r="F4" s="27"/>
    </row>
    <row r="5" spans="2:26" ht="24.75" customHeight="1" x14ac:dyDescent="0.3">
      <c r="B5" s="205"/>
      <c r="C5" s="206"/>
      <c r="D5" s="206"/>
      <c r="E5" s="206"/>
      <c r="F5" s="207"/>
    </row>
    <row r="6" spans="2:26" ht="13.5" customHeight="1" x14ac:dyDescent="0.3">
      <c r="B6" s="27"/>
      <c r="C6" s="27"/>
      <c r="D6" s="27"/>
      <c r="E6" s="27"/>
      <c r="F6" s="27"/>
    </row>
    <row r="7" spans="2:26" x14ac:dyDescent="0.3">
      <c r="B7" s="25" t="s">
        <v>48</v>
      </c>
    </row>
    <row r="8" spans="2:26" x14ac:dyDescent="0.3">
      <c r="B8" s="201" t="s">
        <v>337</v>
      </c>
      <c r="C8" s="202"/>
      <c r="D8" s="197" t="s">
        <v>30</v>
      </c>
      <c r="E8" s="197"/>
      <c r="F8" s="197"/>
    </row>
    <row r="9" spans="2:26" ht="22.5" customHeight="1" x14ac:dyDescent="0.3">
      <c r="B9" s="203" t="s">
        <v>345</v>
      </c>
      <c r="C9" s="204"/>
      <c r="D9" s="190" t="s">
        <v>347</v>
      </c>
      <c r="E9" s="190"/>
      <c r="F9" s="190"/>
    </row>
    <row r="10" spans="2:26" ht="35.25" customHeight="1" x14ac:dyDescent="0.3">
      <c r="B10" s="203" t="s">
        <v>346</v>
      </c>
      <c r="C10" s="204"/>
      <c r="D10" s="198" t="s">
        <v>348</v>
      </c>
      <c r="E10" s="199"/>
      <c r="F10" s="200"/>
    </row>
    <row r="11" spans="2:26" ht="39" customHeight="1" x14ac:dyDescent="0.3">
      <c r="B11" s="203"/>
      <c r="C11" s="204"/>
      <c r="D11" s="190"/>
      <c r="E11" s="190"/>
      <c r="F11" s="190"/>
    </row>
    <row r="12" spans="2:26" ht="22.5" customHeight="1" x14ac:dyDescent="0.3">
      <c r="B12" s="203"/>
      <c r="C12" s="204"/>
      <c r="D12" s="190"/>
      <c r="E12" s="190"/>
      <c r="F12" s="190"/>
    </row>
    <row r="13" spans="2:26" ht="42" customHeight="1" x14ac:dyDescent="0.3">
      <c r="B13" s="203"/>
      <c r="C13" s="204"/>
      <c r="D13" s="190"/>
      <c r="E13" s="190"/>
      <c r="F13" s="190"/>
    </row>
    <row r="14" spans="2:26" ht="22.5" customHeight="1" x14ac:dyDescent="0.3">
      <c r="B14" s="203"/>
      <c r="C14" s="204"/>
      <c r="D14" s="190"/>
      <c r="E14" s="190"/>
      <c r="F14" s="190"/>
    </row>
    <row r="15" spans="2:26" ht="45.75" customHeight="1" x14ac:dyDescent="0.3">
      <c r="B15" s="203"/>
      <c r="C15" s="204"/>
      <c r="D15" s="190"/>
      <c r="E15" s="190"/>
      <c r="F15" s="190"/>
    </row>
    <row r="16" spans="2:26" ht="28.5" customHeight="1" x14ac:dyDescent="0.3">
      <c r="B16" s="203"/>
      <c r="C16" s="204"/>
      <c r="D16" s="190"/>
      <c r="E16" s="190"/>
      <c r="F16" s="190"/>
    </row>
    <row r="17" spans="2:11" ht="22.5" customHeight="1" x14ac:dyDescent="0.3">
      <c r="B17" s="187"/>
      <c r="C17" s="188"/>
      <c r="D17" s="189"/>
      <c r="E17" s="189"/>
      <c r="F17" s="189"/>
    </row>
    <row r="18" spans="2:11" ht="22.5" customHeight="1" x14ac:dyDescent="0.3">
      <c r="B18" s="187"/>
      <c r="C18" s="188"/>
      <c r="D18" s="189"/>
      <c r="E18" s="189"/>
      <c r="F18" s="189"/>
    </row>
    <row r="19" spans="2:11" ht="22.5" customHeight="1" x14ac:dyDescent="0.3">
      <c r="B19" s="187"/>
      <c r="C19" s="188"/>
      <c r="D19" s="189"/>
      <c r="E19" s="189"/>
      <c r="F19" s="189"/>
    </row>
    <row r="20" spans="2:11" ht="22.5" customHeight="1" x14ac:dyDescent="0.3">
      <c r="B20" s="187"/>
      <c r="C20" s="188"/>
      <c r="D20" s="189"/>
      <c r="E20" s="189"/>
      <c r="F20" s="189"/>
    </row>
    <row r="21" spans="2:11" ht="22.5" customHeight="1" x14ac:dyDescent="0.3">
      <c r="B21" s="187"/>
      <c r="C21" s="188"/>
      <c r="D21" s="189"/>
      <c r="E21" s="189"/>
      <c r="F21" s="189"/>
    </row>
    <row r="22" spans="2:11" ht="22.5" customHeight="1" x14ac:dyDescent="0.3">
      <c r="B22" s="187"/>
      <c r="C22" s="188"/>
      <c r="D22" s="189"/>
      <c r="E22" s="189"/>
      <c r="F22" s="189"/>
    </row>
    <row r="23" spans="2:11" ht="22.5" customHeight="1" x14ac:dyDescent="0.3">
      <c r="B23" s="187"/>
      <c r="C23" s="188"/>
      <c r="D23" s="189"/>
      <c r="E23" s="189"/>
      <c r="F23" s="189"/>
    </row>
    <row r="24" spans="2:11" ht="12.75" customHeight="1" x14ac:dyDescent="0.3">
      <c r="B24" s="28"/>
      <c r="C24" s="28"/>
      <c r="D24" s="29"/>
      <c r="E24" s="29"/>
      <c r="F24" s="29"/>
    </row>
    <row r="25" spans="2:11" x14ac:dyDescent="0.3">
      <c r="B25" s="25" t="s">
        <v>49</v>
      </c>
    </row>
    <row r="26" spans="2:11" ht="38.25" customHeight="1" x14ac:dyDescent="0.3">
      <c r="B26" s="209" t="s">
        <v>47</v>
      </c>
      <c r="C26" s="211" t="s">
        <v>27</v>
      </c>
      <c r="D26" s="211" t="s">
        <v>28</v>
      </c>
      <c r="E26" s="211" t="s">
        <v>30</v>
      </c>
      <c r="F26" s="209" t="s">
        <v>340</v>
      </c>
      <c r="G26" s="208" t="s">
        <v>100</v>
      </c>
      <c r="H26" s="208"/>
      <c r="I26" s="208"/>
      <c r="J26" s="208"/>
      <c r="K26" s="208"/>
    </row>
    <row r="27" spans="2:11" ht="36" customHeight="1" x14ac:dyDescent="0.3">
      <c r="B27" s="210"/>
      <c r="C27" s="212"/>
      <c r="D27" s="212"/>
      <c r="E27" s="212"/>
      <c r="F27" s="210"/>
      <c r="G27" s="64" t="s">
        <v>101</v>
      </c>
      <c r="H27" s="64" t="s">
        <v>102</v>
      </c>
      <c r="I27" s="64" t="s">
        <v>103</v>
      </c>
      <c r="J27" s="64" t="s">
        <v>104</v>
      </c>
      <c r="K27" s="64" t="s">
        <v>105</v>
      </c>
    </row>
    <row r="28" spans="2:11" ht="27.75" customHeight="1" x14ac:dyDescent="0.3">
      <c r="B28" s="30">
        <v>1</v>
      </c>
      <c r="C28" s="31" t="s">
        <v>358</v>
      </c>
      <c r="D28" s="30" t="s">
        <v>79</v>
      </c>
      <c r="E28" s="31"/>
      <c r="F28" s="30"/>
      <c r="G28" s="65">
        <f>'Option 1 (Baseline)'!$C$4</f>
        <v>-15.907958579850831</v>
      </c>
      <c r="H28" s="65">
        <f>'Option 1 (Baseline)'!$C$5</f>
        <v>-16.247258561984562</v>
      </c>
      <c r="I28" s="65">
        <f>'Option 1 (Baseline)'!$C$6</f>
        <v>-16.473628654397729</v>
      </c>
      <c r="J28" s="65">
        <f>'Option 1 (Baseline)'!$C$7</f>
        <v>-16.705468207009353</v>
      </c>
      <c r="K28" s="66"/>
    </row>
    <row r="29" spans="2:11" ht="27.75" customHeight="1" x14ac:dyDescent="0.3">
      <c r="B29" s="30">
        <v>2</v>
      </c>
      <c r="C29" s="30" t="s">
        <v>359</v>
      </c>
      <c r="D29" s="30" t="s">
        <v>29</v>
      </c>
      <c r="E29" s="31"/>
      <c r="F29" s="30"/>
      <c r="G29" s="65">
        <f>'Option 2'!$C$4</f>
        <v>-6.6830468744384248</v>
      </c>
      <c r="H29" s="65">
        <f>'Option 2'!$C$5</f>
        <v>-8.0223110721294155</v>
      </c>
      <c r="I29" s="65">
        <f>'Option 2'!$C$6</f>
        <v>-8.9160972944811956</v>
      </c>
      <c r="J29" s="65">
        <f>'Option 2'!$C$7</f>
        <v>-9.8320103513398411</v>
      </c>
      <c r="K29" s="30"/>
    </row>
    <row r="30" spans="2:11" ht="27.75" customHeight="1" x14ac:dyDescent="0.3">
      <c r="B30" s="169">
        <v>3</v>
      </c>
      <c r="C30" s="169"/>
      <c r="D30" s="169"/>
      <c r="E30" s="170"/>
      <c r="F30" s="169"/>
      <c r="G30" s="171"/>
      <c r="H30" s="171"/>
      <c r="I30" s="171"/>
      <c r="J30" s="171"/>
      <c r="K30" s="169"/>
    </row>
    <row r="31" spans="2:11" ht="27.75" customHeight="1" x14ac:dyDescent="0.3">
      <c r="B31" s="169">
        <v>4</v>
      </c>
      <c r="C31" s="169"/>
      <c r="D31" s="169"/>
      <c r="E31" s="170"/>
      <c r="F31" s="169"/>
      <c r="G31" s="171"/>
      <c r="H31" s="171"/>
      <c r="I31" s="171"/>
      <c r="J31" s="171"/>
      <c r="K31" s="169"/>
    </row>
    <row r="32" spans="2:11" ht="27.75" customHeight="1" x14ac:dyDescent="0.3">
      <c r="B32" s="169">
        <v>5</v>
      </c>
      <c r="C32" s="169"/>
      <c r="D32" s="169"/>
      <c r="E32" s="170"/>
      <c r="F32" s="169"/>
      <c r="G32" s="171"/>
      <c r="H32" s="171"/>
      <c r="I32" s="171"/>
      <c r="J32" s="171"/>
      <c r="K32" s="169"/>
    </row>
    <row r="33" spans="2:11" ht="27.75" customHeight="1" x14ac:dyDescent="0.3">
      <c r="B33" s="169">
        <v>6</v>
      </c>
      <c r="C33" s="169"/>
      <c r="D33" s="169"/>
      <c r="E33" s="170"/>
      <c r="F33" s="169"/>
      <c r="G33" s="171"/>
      <c r="H33" s="171"/>
      <c r="I33" s="171"/>
      <c r="J33" s="171"/>
      <c r="K33" s="169"/>
    </row>
    <row r="34" spans="2:11" ht="27.75" customHeight="1" x14ac:dyDescent="0.3">
      <c r="B34" s="169">
        <v>7</v>
      </c>
      <c r="C34" s="169"/>
      <c r="D34" s="169"/>
      <c r="E34" s="170"/>
      <c r="F34" s="169"/>
      <c r="G34" s="171"/>
      <c r="H34" s="171"/>
      <c r="I34" s="171"/>
      <c r="J34" s="171"/>
      <c r="K34" s="169"/>
    </row>
    <row r="35" spans="2:11" ht="27.75" customHeight="1" x14ac:dyDescent="0.3">
      <c r="B35" s="169">
        <v>8</v>
      </c>
      <c r="C35" s="169"/>
      <c r="D35" s="169"/>
      <c r="E35" s="170"/>
      <c r="F35" s="169"/>
      <c r="G35" s="171"/>
      <c r="H35" s="171"/>
      <c r="I35" s="171"/>
      <c r="J35" s="171"/>
      <c r="K35" s="169"/>
    </row>
    <row r="39" spans="2:11" x14ac:dyDescent="0.3">
      <c r="B39" s="2" t="s">
        <v>106</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30" sqref="F30"/>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295</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213" t="s">
        <v>73</v>
      </c>
      <c r="C13" s="214"/>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215"/>
      <c r="C14" s="216"/>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217" t="s">
        <v>324</v>
      </c>
      <c r="C15" s="42" t="s">
        <v>317</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217"/>
      <c r="C16" s="42" t="s">
        <v>318</v>
      </c>
      <c r="D16" s="125">
        <v>1.3004251926654264</v>
      </c>
      <c r="E16" s="83"/>
      <c r="F16" s="71" t="s">
        <v>155</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217"/>
      <c r="C17" s="42" t="s">
        <v>319</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217"/>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217"/>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217"/>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217"/>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217"/>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217"/>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217"/>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40"/>
  <sheetViews>
    <sheetView tabSelected="1" topLeftCell="A13" workbookViewId="0">
      <selection activeCell="J38" sqref="J38"/>
    </sheetView>
  </sheetViews>
  <sheetFormatPr defaultRowHeight="15" x14ac:dyDescent="0.25"/>
  <cols>
    <col min="1" max="1" width="5.85546875" customWidth="1"/>
    <col min="2" max="2" width="35.28515625" customWidth="1"/>
    <col min="3" max="3" width="13.28515625" customWidth="1"/>
    <col min="6" max="6" width="10.140625" customWidth="1"/>
    <col min="7" max="7" width="12" customWidth="1"/>
    <col min="8" max="8" width="10.5703125" customWidth="1"/>
    <col min="9" max="9" width="11.140625" bestFit="1" customWidth="1"/>
  </cols>
  <sheetData>
    <row r="1" spans="1:7" ht="18.75" x14ac:dyDescent="0.3">
      <c r="A1" s="1" t="s">
        <v>300</v>
      </c>
    </row>
    <row r="2" spans="1:7" x14ac:dyDescent="0.25">
      <c r="A2" t="s">
        <v>76</v>
      </c>
    </row>
    <row r="7" spans="1:7" x14ac:dyDescent="0.25">
      <c r="B7" t="s">
        <v>365</v>
      </c>
    </row>
    <row r="10" spans="1:7" ht="15.75" thickBot="1" x14ac:dyDescent="0.3">
      <c r="B10" t="s">
        <v>353</v>
      </c>
      <c r="C10" t="s">
        <v>255</v>
      </c>
      <c r="D10" t="s">
        <v>256</v>
      </c>
      <c r="E10" t="s">
        <v>257</v>
      </c>
      <c r="F10" t="s">
        <v>258</v>
      </c>
      <c r="G10" t="s">
        <v>259</v>
      </c>
    </row>
    <row r="11" spans="1:7" x14ac:dyDescent="0.25">
      <c r="B11" s="139" t="s">
        <v>350</v>
      </c>
      <c r="C11" s="143">
        <v>15609.33333333335</v>
      </c>
      <c r="D11" s="143">
        <v>20429.666666666664</v>
      </c>
      <c r="E11" s="143">
        <v>24083.333333333343</v>
      </c>
      <c r="F11" s="143">
        <v>24301.333333333299</v>
      </c>
      <c r="G11" s="143">
        <v>25885.666666666722</v>
      </c>
    </row>
    <row r="12" spans="1:7" x14ac:dyDescent="0.25">
      <c r="B12" s="140" t="s">
        <v>351</v>
      </c>
      <c r="C12" s="145">
        <v>1684794.9999986053</v>
      </c>
      <c r="D12" s="153">
        <v>2273065.3333330471</v>
      </c>
      <c r="E12" s="153">
        <v>2664464.3333366676</v>
      </c>
      <c r="F12" s="153">
        <v>3044464.3333288995</v>
      </c>
      <c r="G12" s="145">
        <v>3468679.3333333409</v>
      </c>
    </row>
    <row r="13" spans="1:7" x14ac:dyDescent="0.25">
      <c r="B13" s="140" t="s">
        <v>368</v>
      </c>
      <c r="C13" s="144">
        <f>167800.333333333/1000000</f>
        <v>0.167800333333333</v>
      </c>
      <c r="D13" s="144">
        <f>219618.916666667/1000000</f>
        <v>0.219618916666667</v>
      </c>
      <c r="E13" s="144">
        <f>280330/1000000</f>
        <v>0.28033000000000002</v>
      </c>
      <c r="F13" s="144">
        <f>282867.520000001/1000000</f>
        <v>0.28286752000000098</v>
      </c>
      <c r="G13" s="144">
        <f>(G11*11.64)/1000000</f>
        <v>0.30130916000000069</v>
      </c>
    </row>
    <row r="14" spans="1:7" x14ac:dyDescent="0.25">
      <c r="B14" s="140" t="s">
        <v>369</v>
      </c>
      <c r="C14" s="144">
        <f>438046.699999638/1000000</f>
        <v>0.43804669999963802</v>
      </c>
      <c r="D14" s="144">
        <f>590996.986666593/1000000</f>
        <v>0.59099698666659295</v>
      </c>
      <c r="E14" s="144">
        <f>746050.013334266/1000000</f>
        <v>0.74605001333426602</v>
      </c>
      <c r="F14" s="144">
        <f>852450.013332091/1000000</f>
        <v>0.85245001333209103</v>
      </c>
      <c r="G14" s="144">
        <f>(G12*(17/60))/1000000</f>
        <v>0.98279247777777989</v>
      </c>
    </row>
    <row r="15" spans="1:7" ht="15.75" thickBot="1" x14ac:dyDescent="0.3">
      <c r="B15" s="141" t="s">
        <v>370</v>
      </c>
      <c r="C15" s="146">
        <f>SUM(C13:C14)</f>
        <v>0.60584703333297107</v>
      </c>
      <c r="D15" s="146">
        <f>SUM(D13:D14)</f>
        <v>0.81061590333325995</v>
      </c>
      <c r="E15" s="146">
        <f>SUM(E13:E14)</f>
        <v>1.026380013334266</v>
      </c>
      <c r="F15" s="146">
        <f>SUM(F13:F14)</f>
        <v>1.135317533332092</v>
      </c>
      <c r="G15" s="146">
        <f>SUM(G13:G14)</f>
        <v>1.2841016377777805</v>
      </c>
    </row>
    <row r="17" spans="2:10" x14ac:dyDescent="0.25">
      <c r="B17" s="129"/>
    </row>
    <row r="18" spans="2:10" ht="15.75" thickBot="1" x14ac:dyDescent="0.3">
      <c r="B18" s="129" t="s">
        <v>366</v>
      </c>
      <c r="C18" t="s">
        <v>255</v>
      </c>
      <c r="D18" t="s">
        <v>256</v>
      </c>
      <c r="E18" t="s">
        <v>257</v>
      </c>
      <c r="F18" t="s">
        <v>258</v>
      </c>
      <c r="G18" t="s">
        <v>259</v>
      </c>
    </row>
    <row r="19" spans="2:10" x14ac:dyDescent="0.25">
      <c r="B19" s="139" t="s">
        <v>351</v>
      </c>
      <c r="C19" s="143">
        <v>181175.66666606389</v>
      </c>
      <c r="D19" s="143">
        <v>213387.99999774439</v>
      </c>
      <c r="E19" s="151">
        <v>336154.00000260607</v>
      </c>
      <c r="F19" s="151">
        <v>255441.00000137658</v>
      </c>
      <c r="G19" s="236">
        <v>240717</v>
      </c>
      <c r="H19" s="237"/>
    </row>
    <row r="20" spans="2:10" ht="15.75" thickBot="1" x14ac:dyDescent="0.3">
      <c r="B20" s="141" t="s">
        <v>369</v>
      </c>
      <c r="C20" s="146">
        <f>50729.1866664979/1000000</f>
        <v>5.0729186666497901E-2</v>
      </c>
      <c r="D20" s="146">
        <f>59748.6399993684/1000000</f>
        <v>5.97486399993684E-2</v>
      </c>
      <c r="E20" s="168">
        <f>94123.1200007297/1000000</f>
        <v>9.4123120000729699E-2</v>
      </c>
      <c r="F20" s="168">
        <f>71523.4800003854/1000000</f>
        <v>7.15234800003854E-2</v>
      </c>
      <c r="G20" s="146">
        <f>(G19*(17/60))/1000000</f>
        <v>6.820314999999999E-2</v>
      </c>
    </row>
    <row r="21" spans="2:10" x14ac:dyDescent="0.25">
      <c r="B21" s="129"/>
      <c r="C21" s="161"/>
      <c r="D21" s="161"/>
      <c r="E21" s="129"/>
      <c r="F21" s="129"/>
      <c r="I21" s="148"/>
    </row>
    <row r="22" spans="2:10" x14ac:dyDescent="0.25">
      <c r="B22" s="129"/>
      <c r="C22" s="161"/>
      <c r="D22" s="161"/>
      <c r="E22" s="129"/>
      <c r="F22" s="129"/>
    </row>
    <row r="23" spans="2:10" ht="15.75" thickBot="1" x14ac:dyDescent="0.3">
      <c r="B23" t="s">
        <v>352</v>
      </c>
      <c r="C23" t="s">
        <v>255</v>
      </c>
      <c r="D23" t="s">
        <v>256</v>
      </c>
      <c r="E23" t="s">
        <v>257</v>
      </c>
      <c r="F23" t="s">
        <v>258</v>
      </c>
      <c r="G23" t="s">
        <v>259</v>
      </c>
    </row>
    <row r="24" spans="2:10" x14ac:dyDescent="0.25">
      <c r="B24" s="137" t="s">
        <v>350</v>
      </c>
      <c r="C24" s="143">
        <v>34066</v>
      </c>
      <c r="D24" s="152">
        <v>42582</v>
      </c>
      <c r="E24" s="152">
        <v>49692</v>
      </c>
      <c r="F24" s="152">
        <v>41248</v>
      </c>
      <c r="G24" s="143">
        <v>43629.818181818184</v>
      </c>
    </row>
    <row r="25" spans="2:10" x14ac:dyDescent="0.25">
      <c r="B25" s="165" t="s">
        <v>371</v>
      </c>
      <c r="C25" s="144">
        <f>396528/1000000</f>
        <v>0.39652799999999999</v>
      </c>
      <c r="D25" s="144">
        <f>495654/1000000</f>
        <v>0.49565399999999998</v>
      </c>
      <c r="E25" s="144">
        <f>578414.88/1000000</f>
        <v>0.57841487999999996</v>
      </c>
      <c r="F25" s="144">
        <f>480126.72/1000000</f>
        <v>0.48012671999999995</v>
      </c>
      <c r="G25" s="144">
        <f>(G24*11.64)/1000000</f>
        <v>0.50785108363636366</v>
      </c>
    </row>
    <row r="26" spans="2:10" x14ac:dyDescent="0.25">
      <c r="B26" s="138" t="s">
        <v>351</v>
      </c>
      <c r="C26" s="145">
        <v>4428580</v>
      </c>
      <c r="D26" s="153">
        <v>5535660</v>
      </c>
      <c r="E26" s="153">
        <v>6459960</v>
      </c>
      <c r="F26" s="177">
        <v>5362240</v>
      </c>
      <c r="G26" s="177">
        <v>7082602.9090909092</v>
      </c>
    </row>
    <row r="27" spans="2:10" x14ac:dyDescent="0.25">
      <c r="B27" s="165" t="s">
        <v>372</v>
      </c>
      <c r="C27" s="144">
        <f>1254764/1000000</f>
        <v>1.254764</v>
      </c>
      <c r="D27" s="144">
        <f>1568437/1000000</f>
        <v>1.5684370000000001</v>
      </c>
      <c r="E27" s="144">
        <f>1830322/1000000</f>
        <v>1.830322</v>
      </c>
      <c r="F27" s="144">
        <f>1519301.33333333/1000000</f>
        <v>1.5193013333333301</v>
      </c>
      <c r="G27" s="144">
        <f>(G26*(17/60))/1000000</f>
        <v>2.0067374909090909</v>
      </c>
      <c r="I27" s="239"/>
      <c r="J27" s="148"/>
    </row>
    <row r="28" spans="2:10" x14ac:dyDescent="0.25">
      <c r="B28" s="165" t="s">
        <v>373</v>
      </c>
      <c r="C28" s="144">
        <f>509351.91/1000000</f>
        <v>0.50935191000000002</v>
      </c>
      <c r="D28" s="144">
        <f>553356.8/1000000</f>
        <v>0.55335680000000009</v>
      </c>
      <c r="E28" s="144">
        <f>589848.53/1000000</f>
        <v>0.58984853000000004</v>
      </c>
      <c r="F28" s="144">
        <f>555246.11/1000000</f>
        <v>0.55524611000000001</v>
      </c>
      <c r="G28" s="144">
        <f>383474.367272727/1000000</f>
        <v>0.38347436727272699</v>
      </c>
      <c r="I28" s="148"/>
    </row>
    <row r="29" spans="2:10" x14ac:dyDescent="0.25">
      <c r="B29" s="178" t="s">
        <v>378</v>
      </c>
      <c r="C29" s="144"/>
      <c r="D29" s="144"/>
      <c r="E29" s="144"/>
      <c r="F29" s="144"/>
      <c r="G29" s="180">
        <f>-82236.8444444444/1000000</f>
        <v>-8.2236844444444401E-2</v>
      </c>
    </row>
    <row r="30" spans="2:10" ht="15.75" thickBot="1" x14ac:dyDescent="0.3">
      <c r="B30" s="166" t="s">
        <v>374</v>
      </c>
      <c r="C30" s="146">
        <f>C25+C27+C28</f>
        <v>2.1606439100000001</v>
      </c>
      <c r="D30" s="146">
        <f>D25+D27+D28</f>
        <v>2.6174477999999999</v>
      </c>
      <c r="E30" s="146">
        <f>E25+E27+E28</f>
        <v>2.9985854100000005</v>
      </c>
      <c r="F30" s="146">
        <f>F25+F27+F28</f>
        <v>2.5546741633333299</v>
      </c>
      <c r="G30" s="146">
        <f>G25+G27+G28+G29</f>
        <v>2.815826097373737</v>
      </c>
      <c r="I30" s="148"/>
    </row>
    <row r="31" spans="2:10" x14ac:dyDescent="0.25">
      <c r="I31" s="179"/>
    </row>
    <row r="33" spans="2:8" ht="15.75" thickBot="1" x14ac:dyDescent="0.3">
      <c r="B33" s="164" t="s">
        <v>367</v>
      </c>
      <c r="C33" t="s">
        <v>255</v>
      </c>
      <c r="D33" t="s">
        <v>256</v>
      </c>
      <c r="E33" t="s">
        <v>257</v>
      </c>
      <c r="F33" t="s">
        <v>258</v>
      </c>
      <c r="G33" t="s">
        <v>259</v>
      </c>
    </row>
    <row r="34" spans="2:8" x14ac:dyDescent="0.25">
      <c r="B34" s="137" t="s">
        <v>350</v>
      </c>
      <c r="C34" s="143">
        <f>C11+C24</f>
        <v>49675.33333333335</v>
      </c>
      <c r="D34" s="143">
        <f t="shared" ref="D34:E34" si="0">D11+D24</f>
        <v>63011.666666666664</v>
      </c>
      <c r="E34" s="142">
        <f t="shared" si="0"/>
        <v>73775.333333333343</v>
      </c>
      <c r="F34" s="142">
        <f t="shared" ref="F34:G34" si="1">F11+F24</f>
        <v>65549.333333333299</v>
      </c>
      <c r="G34" s="143">
        <f t="shared" si="1"/>
        <v>69515.484848484906</v>
      </c>
    </row>
    <row r="35" spans="2:8" x14ac:dyDescent="0.25">
      <c r="B35" s="138" t="s">
        <v>351</v>
      </c>
      <c r="C35" s="145">
        <f>C12+C19+C26</f>
        <v>6294550.6666646693</v>
      </c>
      <c r="D35" s="145">
        <f t="shared" ref="D35:E35" si="2">D12+D19+D26</f>
        <v>8022113.3333307914</v>
      </c>
      <c r="E35" s="147">
        <f t="shared" si="2"/>
        <v>9460578.3333392739</v>
      </c>
      <c r="F35" s="147">
        <f t="shared" ref="F35:G35" si="3">F12+F19+F26</f>
        <v>8662145.3333302755</v>
      </c>
      <c r="G35" s="145">
        <f t="shared" si="3"/>
        <v>10791999.24242425</v>
      </c>
    </row>
    <row r="36" spans="2:8" x14ac:dyDescent="0.25">
      <c r="B36" s="165" t="s">
        <v>371</v>
      </c>
      <c r="C36" s="144">
        <f>C13+C25</f>
        <v>0.56432833333333299</v>
      </c>
      <c r="D36" s="144">
        <f t="shared" ref="D36:E36" si="4">D13+D25</f>
        <v>0.71527291666666692</v>
      </c>
      <c r="E36" s="167">
        <f t="shared" si="4"/>
        <v>0.85874487999999993</v>
      </c>
      <c r="F36" s="167">
        <f t="shared" ref="F36:G36" si="5">F13+F25</f>
        <v>0.76299424000000093</v>
      </c>
      <c r="G36" s="144">
        <f t="shared" si="5"/>
        <v>0.8091602436363643</v>
      </c>
    </row>
    <row r="37" spans="2:8" x14ac:dyDescent="0.25">
      <c r="B37" s="165" t="s">
        <v>372</v>
      </c>
      <c r="C37" s="144">
        <f>C14+C20+C27</f>
        <v>1.7435398866661358</v>
      </c>
      <c r="D37" s="144">
        <f t="shared" ref="D37:E37" si="6">D14+D20+D27</f>
        <v>2.2191826266659613</v>
      </c>
      <c r="E37" s="167">
        <f t="shared" si="6"/>
        <v>2.6704951333349958</v>
      </c>
      <c r="F37" s="167">
        <f t="shared" ref="F37:G37" si="7">F14+F20+F27</f>
        <v>2.4432748266658066</v>
      </c>
      <c r="G37" s="144">
        <f t="shared" si="7"/>
        <v>3.0577331186868708</v>
      </c>
    </row>
    <row r="38" spans="2:8" x14ac:dyDescent="0.25">
      <c r="B38" s="165" t="s">
        <v>373</v>
      </c>
      <c r="C38" s="144">
        <f>C28</f>
        <v>0.50935191000000002</v>
      </c>
      <c r="D38" s="144">
        <f t="shared" ref="D38:E38" si="8">D28</f>
        <v>0.55335680000000009</v>
      </c>
      <c r="E38" s="167">
        <f t="shared" si="8"/>
        <v>0.58984853000000004</v>
      </c>
      <c r="F38" s="167">
        <f t="shared" ref="F38:G38" si="9">F28</f>
        <v>0.55524611000000001</v>
      </c>
      <c r="G38" s="144">
        <f t="shared" si="9"/>
        <v>0.38347436727272699</v>
      </c>
    </row>
    <row r="39" spans="2:8" x14ac:dyDescent="0.25">
      <c r="B39" s="178" t="s">
        <v>378</v>
      </c>
      <c r="C39" s="144"/>
      <c r="D39" s="144"/>
      <c r="E39" s="167"/>
      <c r="F39" s="167"/>
      <c r="G39" s="180">
        <f>G29</f>
        <v>-8.2236844444444401E-2</v>
      </c>
    </row>
    <row r="40" spans="2:8" ht="15.75" thickBot="1" x14ac:dyDescent="0.3">
      <c r="B40" s="166" t="s">
        <v>374</v>
      </c>
      <c r="C40" s="146">
        <f>SUM(C36:C38)</f>
        <v>2.8172201299994688</v>
      </c>
      <c r="D40" s="146">
        <f t="shared" ref="D40:E40" si="10">SUM(D36:D38)</f>
        <v>3.4878123433326285</v>
      </c>
      <c r="E40" s="168">
        <f t="shared" si="10"/>
        <v>4.1190885433349962</v>
      </c>
      <c r="F40" s="168">
        <f t="shared" ref="F40" si="11">SUM(F36:F38)</f>
        <v>3.7615151766658079</v>
      </c>
      <c r="G40" s="146">
        <f>SUM(G36:G39)</f>
        <v>4.168130885151518</v>
      </c>
      <c r="H40" s="148">
        <f>SUM(C40:G40)</f>
        <v>18.35376707848442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N21" sqref="N2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2.140625" style="4" customWidth="1"/>
    <col min="7" max="9" width="10.85546875" style="4" bestFit="1"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343</v>
      </c>
      <c r="C1" s="3" t="s">
        <v>344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-15.907958579850831</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-16.247258561984562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-16.473628654397729</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-16.705468207009353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18" t="s">
        <v>11</v>
      </c>
      <c r="B13" s="61" t="s">
        <v>198</v>
      </c>
      <c r="C13" s="60"/>
      <c r="D13" s="61" t="s">
        <v>39</v>
      </c>
      <c r="E13" s="62">
        <f>-'Baseline Workings'!C38</f>
        <v>-0.50935191000000002</v>
      </c>
      <c r="F13" s="62">
        <f>-'Baseline Workings'!D38</f>
        <v>-0.55335680000000009</v>
      </c>
      <c r="G13" s="62">
        <f>-'Baseline Workings'!E38</f>
        <v>-0.58984853000000004</v>
      </c>
      <c r="H13" s="62">
        <f>-'Baseline Workings'!F38</f>
        <v>-0.55524611000000001</v>
      </c>
      <c r="I13" s="62">
        <f>-'Baseline Workings'!G38</f>
        <v>-0.38347436727272699</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19"/>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219"/>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219"/>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19"/>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20"/>
      <c r="B18" s="123" t="s">
        <v>195</v>
      </c>
      <c r="C18" s="128"/>
      <c r="D18" s="124" t="s">
        <v>39</v>
      </c>
      <c r="E18" s="59">
        <f>SUM(E13:E17)</f>
        <v>-0.50935191000000002</v>
      </c>
      <c r="F18" s="59">
        <f t="shared" ref="F18:AW18" si="0">SUM(F13:F17)</f>
        <v>-0.55335680000000009</v>
      </c>
      <c r="G18" s="59">
        <f t="shared" si="0"/>
        <v>-0.58984853000000004</v>
      </c>
      <c r="H18" s="59">
        <f t="shared" si="0"/>
        <v>-0.55524611000000001</v>
      </c>
      <c r="I18" s="59">
        <f t="shared" si="0"/>
        <v>-0.38347436727272699</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21" t="s">
        <v>299</v>
      </c>
      <c r="B19" s="61" t="s">
        <v>198</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21"/>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21"/>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21"/>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21"/>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21"/>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22"/>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-0.50935191000000002</v>
      </c>
      <c r="F26" s="59">
        <f t="shared" ref="F26:BD26" si="2">F18+F25</f>
        <v>-0.55335680000000009</v>
      </c>
      <c r="G26" s="59">
        <f t="shared" si="2"/>
        <v>-0.58984853000000004</v>
      </c>
      <c r="H26" s="59">
        <f t="shared" si="2"/>
        <v>-0.55524611000000001</v>
      </c>
      <c r="I26" s="59">
        <f t="shared" si="2"/>
        <v>-0.38347436727272699</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-0.35654633699999999</v>
      </c>
      <c r="F28" s="35">
        <f t="shared" ref="F28:AW28" si="3">F26*F27</f>
        <v>-0.38734976000000004</v>
      </c>
      <c r="G28" s="35">
        <f t="shared" si="3"/>
        <v>-0.41289397100000003</v>
      </c>
      <c r="H28" s="35">
        <f t="shared" si="3"/>
        <v>-0.38867227700000001</v>
      </c>
      <c r="I28" s="35">
        <f t="shared" si="3"/>
        <v>-0.26843205709090889</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-0.15280557300000003</v>
      </c>
      <c r="F29" s="35">
        <f t="shared" ref="F29:AW29" si="4">F26-F28</f>
        <v>-0.16600704000000005</v>
      </c>
      <c r="G29" s="35">
        <f t="shared" si="4"/>
        <v>-0.17695455900000001</v>
      </c>
      <c r="H29" s="35">
        <f t="shared" si="4"/>
        <v>-0.166573833</v>
      </c>
      <c r="I29" s="35">
        <f t="shared" si="4"/>
        <v>-0.1150423101818181</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-7.9232519333333334E-3</v>
      </c>
      <c r="G30" s="35">
        <f>$E$28/'Fixed data'!$C$7</f>
        <v>-7.9232519333333334E-3</v>
      </c>
      <c r="H30" s="35">
        <f>$E$28/'Fixed data'!$C$7</f>
        <v>-7.9232519333333334E-3</v>
      </c>
      <c r="I30" s="35">
        <f>$E$28/'Fixed data'!$C$7</f>
        <v>-7.9232519333333334E-3</v>
      </c>
      <c r="J30" s="35">
        <f>$E$28/'Fixed data'!$C$7</f>
        <v>-7.9232519333333334E-3</v>
      </c>
      <c r="K30" s="35">
        <f>$E$28/'Fixed data'!$C$7</f>
        <v>-7.9232519333333334E-3</v>
      </c>
      <c r="L30" s="35">
        <f>$E$28/'Fixed data'!$C$7</f>
        <v>-7.9232519333333334E-3</v>
      </c>
      <c r="M30" s="35">
        <f>$E$28/'Fixed data'!$C$7</f>
        <v>-7.9232519333333334E-3</v>
      </c>
      <c r="N30" s="35">
        <f>$E$28/'Fixed data'!$C$7</f>
        <v>-7.9232519333333334E-3</v>
      </c>
      <c r="O30" s="35">
        <f>$E$28/'Fixed data'!$C$7</f>
        <v>-7.9232519333333334E-3</v>
      </c>
      <c r="P30" s="35">
        <f>$E$28/'Fixed data'!$C$7</f>
        <v>-7.9232519333333334E-3</v>
      </c>
      <c r="Q30" s="35">
        <f>$E$28/'Fixed data'!$C$7</f>
        <v>-7.9232519333333334E-3</v>
      </c>
      <c r="R30" s="35">
        <f>$E$28/'Fixed data'!$C$7</f>
        <v>-7.9232519333333334E-3</v>
      </c>
      <c r="S30" s="35">
        <f>$E$28/'Fixed data'!$C$7</f>
        <v>-7.9232519333333334E-3</v>
      </c>
      <c r="T30" s="35">
        <f>$E$28/'Fixed data'!$C$7</f>
        <v>-7.9232519333333334E-3</v>
      </c>
      <c r="U30" s="35">
        <f>$E$28/'Fixed data'!$C$7</f>
        <v>-7.9232519333333334E-3</v>
      </c>
      <c r="V30" s="35">
        <f>$E$28/'Fixed data'!$C$7</f>
        <v>-7.9232519333333334E-3</v>
      </c>
      <c r="W30" s="35">
        <f>$E$28/'Fixed data'!$C$7</f>
        <v>-7.9232519333333334E-3</v>
      </c>
      <c r="X30" s="35">
        <f>$E$28/'Fixed data'!$C$7</f>
        <v>-7.9232519333333334E-3</v>
      </c>
      <c r="Y30" s="35">
        <f>$E$28/'Fixed data'!$C$7</f>
        <v>-7.9232519333333334E-3</v>
      </c>
      <c r="Z30" s="35">
        <f>$E$28/'Fixed data'!$C$7</f>
        <v>-7.9232519333333334E-3</v>
      </c>
      <c r="AA30" s="35">
        <f>$E$28/'Fixed data'!$C$7</f>
        <v>-7.9232519333333334E-3</v>
      </c>
      <c r="AB30" s="35">
        <f>$E$28/'Fixed data'!$C$7</f>
        <v>-7.9232519333333334E-3</v>
      </c>
      <c r="AC30" s="35">
        <f>$E$28/'Fixed data'!$C$7</f>
        <v>-7.9232519333333334E-3</v>
      </c>
      <c r="AD30" s="35">
        <f>$E$28/'Fixed data'!$C$7</f>
        <v>-7.9232519333333334E-3</v>
      </c>
      <c r="AE30" s="35">
        <f>$E$28/'Fixed data'!$C$7</f>
        <v>-7.9232519333333334E-3</v>
      </c>
      <c r="AF30" s="35">
        <f>$E$28/'Fixed data'!$C$7</f>
        <v>-7.9232519333333334E-3</v>
      </c>
      <c r="AG30" s="35">
        <f>$E$28/'Fixed data'!$C$7</f>
        <v>-7.9232519333333334E-3</v>
      </c>
      <c r="AH30" s="35">
        <f>$E$28/'Fixed data'!$C$7</f>
        <v>-7.9232519333333334E-3</v>
      </c>
      <c r="AI30" s="35">
        <f>$E$28/'Fixed data'!$C$7</f>
        <v>-7.9232519333333334E-3</v>
      </c>
      <c r="AJ30" s="35">
        <f>$E$28/'Fixed data'!$C$7</f>
        <v>-7.9232519333333334E-3</v>
      </c>
      <c r="AK30" s="35">
        <f>$E$28/'Fixed data'!$C$7</f>
        <v>-7.9232519333333334E-3</v>
      </c>
      <c r="AL30" s="35">
        <f>$E$28/'Fixed data'!$C$7</f>
        <v>-7.9232519333333334E-3</v>
      </c>
      <c r="AM30" s="35">
        <f>$E$28/'Fixed data'!$C$7</f>
        <v>-7.9232519333333334E-3</v>
      </c>
      <c r="AN30" s="35">
        <f>$E$28/'Fixed data'!$C$7</f>
        <v>-7.9232519333333334E-3</v>
      </c>
      <c r="AO30" s="35">
        <f>$E$28/'Fixed data'!$C$7</f>
        <v>-7.9232519333333334E-3</v>
      </c>
      <c r="AP30" s="35">
        <f>$E$28/'Fixed data'!$C$7</f>
        <v>-7.9232519333333334E-3</v>
      </c>
      <c r="AQ30" s="35">
        <f>$E$28/'Fixed data'!$C$7</f>
        <v>-7.9232519333333334E-3</v>
      </c>
      <c r="AR30" s="35">
        <f>$E$28/'Fixed data'!$C$7</f>
        <v>-7.9232519333333334E-3</v>
      </c>
      <c r="AS30" s="35">
        <f>$E$28/'Fixed data'!$C$7</f>
        <v>-7.9232519333333334E-3</v>
      </c>
      <c r="AT30" s="35">
        <f>$E$28/'Fixed data'!$C$7</f>
        <v>-7.9232519333333334E-3</v>
      </c>
      <c r="AU30" s="35">
        <f>$E$28/'Fixed data'!$C$7</f>
        <v>-7.9232519333333334E-3</v>
      </c>
      <c r="AV30" s="35">
        <f>$E$28/'Fixed data'!$C$7</f>
        <v>-7.9232519333333334E-3</v>
      </c>
      <c r="AW30" s="35">
        <f>$E$28/'Fixed data'!$C$7</f>
        <v>-7.9232519333333334E-3</v>
      </c>
      <c r="AX30" s="35">
        <f>$E$28/'Fixed data'!$C$7</f>
        <v>-7.9232519333333334E-3</v>
      </c>
      <c r="AY30" s="35"/>
      <c r="AZ30" s="35"/>
      <c r="BA30" s="35"/>
      <c r="BB30" s="35"/>
      <c r="BC30" s="35"/>
      <c r="BD30" s="35"/>
    </row>
    <row r="31" spans="1:56" ht="16.5" hidden="1" customHeight="1" outlineLevel="1" x14ac:dyDescent="0.35">
      <c r="A31" s="114"/>
      <c r="B31" s="9" t="s">
        <v>2</v>
      </c>
      <c r="C31" s="11" t="s">
        <v>52</v>
      </c>
      <c r="D31" s="9" t="s">
        <v>39</v>
      </c>
      <c r="F31" s="35"/>
      <c r="G31" s="35">
        <f>$F$28/'Fixed data'!$C$7</f>
        <v>-8.6077724444444462E-3</v>
      </c>
      <c r="H31" s="35">
        <f>$F$28/'Fixed data'!$C$7</f>
        <v>-8.6077724444444462E-3</v>
      </c>
      <c r="I31" s="35">
        <f>$F$28/'Fixed data'!$C$7</f>
        <v>-8.6077724444444462E-3</v>
      </c>
      <c r="J31" s="35">
        <f>$F$28/'Fixed data'!$C$7</f>
        <v>-8.6077724444444462E-3</v>
      </c>
      <c r="K31" s="35">
        <f>$F$28/'Fixed data'!$C$7</f>
        <v>-8.6077724444444462E-3</v>
      </c>
      <c r="L31" s="35">
        <f>$F$28/'Fixed data'!$C$7</f>
        <v>-8.6077724444444462E-3</v>
      </c>
      <c r="M31" s="35">
        <f>$F$28/'Fixed data'!$C$7</f>
        <v>-8.6077724444444462E-3</v>
      </c>
      <c r="N31" s="35">
        <f>$F$28/'Fixed data'!$C$7</f>
        <v>-8.6077724444444462E-3</v>
      </c>
      <c r="O31" s="35">
        <f>$F$28/'Fixed data'!$C$7</f>
        <v>-8.6077724444444462E-3</v>
      </c>
      <c r="P31" s="35">
        <f>$F$28/'Fixed data'!$C$7</f>
        <v>-8.6077724444444462E-3</v>
      </c>
      <c r="Q31" s="35">
        <f>$F$28/'Fixed data'!$C$7</f>
        <v>-8.6077724444444462E-3</v>
      </c>
      <c r="R31" s="35">
        <f>$F$28/'Fixed data'!$C$7</f>
        <v>-8.6077724444444462E-3</v>
      </c>
      <c r="S31" s="35">
        <f>$F$28/'Fixed data'!$C$7</f>
        <v>-8.6077724444444462E-3</v>
      </c>
      <c r="T31" s="35">
        <f>$F$28/'Fixed data'!$C$7</f>
        <v>-8.6077724444444462E-3</v>
      </c>
      <c r="U31" s="35">
        <f>$F$28/'Fixed data'!$C$7</f>
        <v>-8.6077724444444462E-3</v>
      </c>
      <c r="V31" s="35">
        <f>$F$28/'Fixed data'!$C$7</f>
        <v>-8.6077724444444462E-3</v>
      </c>
      <c r="W31" s="35">
        <f>$F$28/'Fixed data'!$C$7</f>
        <v>-8.6077724444444462E-3</v>
      </c>
      <c r="X31" s="35">
        <f>$F$28/'Fixed data'!$C$7</f>
        <v>-8.6077724444444462E-3</v>
      </c>
      <c r="Y31" s="35">
        <f>$F$28/'Fixed data'!$C$7</f>
        <v>-8.6077724444444462E-3</v>
      </c>
      <c r="Z31" s="35">
        <f>$F$28/'Fixed data'!$C$7</f>
        <v>-8.6077724444444462E-3</v>
      </c>
      <c r="AA31" s="35">
        <f>$F$28/'Fixed data'!$C$7</f>
        <v>-8.6077724444444462E-3</v>
      </c>
      <c r="AB31" s="35">
        <f>$F$28/'Fixed data'!$C$7</f>
        <v>-8.6077724444444462E-3</v>
      </c>
      <c r="AC31" s="35">
        <f>$F$28/'Fixed data'!$C$7</f>
        <v>-8.6077724444444462E-3</v>
      </c>
      <c r="AD31" s="35">
        <f>$F$28/'Fixed data'!$C$7</f>
        <v>-8.6077724444444462E-3</v>
      </c>
      <c r="AE31" s="35">
        <f>$F$28/'Fixed data'!$C$7</f>
        <v>-8.6077724444444462E-3</v>
      </c>
      <c r="AF31" s="35">
        <f>$F$28/'Fixed data'!$C$7</f>
        <v>-8.6077724444444462E-3</v>
      </c>
      <c r="AG31" s="35">
        <f>$F$28/'Fixed data'!$C$7</f>
        <v>-8.6077724444444462E-3</v>
      </c>
      <c r="AH31" s="35">
        <f>$F$28/'Fixed data'!$C$7</f>
        <v>-8.6077724444444462E-3</v>
      </c>
      <c r="AI31" s="35">
        <f>$F$28/'Fixed data'!$C$7</f>
        <v>-8.6077724444444462E-3</v>
      </c>
      <c r="AJ31" s="35">
        <f>$F$28/'Fixed data'!$C$7</f>
        <v>-8.6077724444444462E-3</v>
      </c>
      <c r="AK31" s="35">
        <f>$F$28/'Fixed data'!$C$7</f>
        <v>-8.6077724444444462E-3</v>
      </c>
      <c r="AL31" s="35">
        <f>$F$28/'Fixed data'!$C$7</f>
        <v>-8.6077724444444462E-3</v>
      </c>
      <c r="AM31" s="35">
        <f>$F$28/'Fixed data'!$C$7</f>
        <v>-8.6077724444444462E-3</v>
      </c>
      <c r="AN31" s="35">
        <f>$F$28/'Fixed data'!$C$7</f>
        <v>-8.6077724444444462E-3</v>
      </c>
      <c r="AO31" s="35">
        <f>$F$28/'Fixed data'!$C$7</f>
        <v>-8.6077724444444462E-3</v>
      </c>
      <c r="AP31" s="35">
        <f>$F$28/'Fixed data'!$C$7</f>
        <v>-8.6077724444444462E-3</v>
      </c>
      <c r="AQ31" s="35">
        <f>$F$28/'Fixed data'!$C$7</f>
        <v>-8.6077724444444462E-3</v>
      </c>
      <c r="AR31" s="35">
        <f>$F$28/'Fixed data'!$C$7</f>
        <v>-8.6077724444444462E-3</v>
      </c>
      <c r="AS31" s="35">
        <f>$F$28/'Fixed data'!$C$7</f>
        <v>-8.6077724444444462E-3</v>
      </c>
      <c r="AT31" s="35">
        <f>$F$28/'Fixed data'!$C$7</f>
        <v>-8.6077724444444462E-3</v>
      </c>
      <c r="AU31" s="35">
        <f>$F$28/'Fixed data'!$C$7</f>
        <v>-8.6077724444444462E-3</v>
      </c>
      <c r="AV31" s="35">
        <f>$F$28/'Fixed data'!$C$7</f>
        <v>-8.6077724444444462E-3</v>
      </c>
      <c r="AW31" s="35">
        <f>$F$28/'Fixed data'!$C$7</f>
        <v>-8.6077724444444462E-3</v>
      </c>
      <c r="AX31" s="35">
        <f>$F$28/'Fixed data'!$C$7</f>
        <v>-8.6077724444444462E-3</v>
      </c>
      <c r="AY31" s="35">
        <f>$F$28/'Fixed data'!$C$7</f>
        <v>-8.6077724444444462E-3</v>
      </c>
      <c r="AZ31" s="35"/>
      <c r="BA31" s="35"/>
      <c r="BB31" s="35"/>
      <c r="BC31" s="35"/>
      <c r="BD31" s="35"/>
    </row>
    <row r="32" spans="1:56" ht="16.5" hidden="1" customHeight="1" outlineLevel="1" x14ac:dyDescent="0.35">
      <c r="A32" s="114"/>
      <c r="B32" s="9" t="s">
        <v>3</v>
      </c>
      <c r="C32" s="11" t="s">
        <v>53</v>
      </c>
      <c r="D32" s="9" t="s">
        <v>39</v>
      </c>
      <c r="F32" s="35"/>
      <c r="G32" s="35"/>
      <c r="H32" s="35">
        <f>$G$28/'Fixed data'!$C$7</f>
        <v>-9.1754215777777783E-3</v>
      </c>
      <c r="I32" s="35">
        <f>$G$28/'Fixed data'!$C$7</f>
        <v>-9.1754215777777783E-3</v>
      </c>
      <c r="J32" s="35">
        <f>$G$28/'Fixed data'!$C$7</f>
        <v>-9.1754215777777783E-3</v>
      </c>
      <c r="K32" s="35">
        <f>$G$28/'Fixed data'!$C$7</f>
        <v>-9.1754215777777783E-3</v>
      </c>
      <c r="L32" s="35">
        <f>$G$28/'Fixed data'!$C$7</f>
        <v>-9.1754215777777783E-3</v>
      </c>
      <c r="M32" s="35">
        <f>$G$28/'Fixed data'!$C$7</f>
        <v>-9.1754215777777783E-3</v>
      </c>
      <c r="N32" s="35">
        <f>$G$28/'Fixed data'!$C$7</f>
        <v>-9.1754215777777783E-3</v>
      </c>
      <c r="O32" s="35">
        <f>$G$28/'Fixed data'!$C$7</f>
        <v>-9.1754215777777783E-3</v>
      </c>
      <c r="P32" s="35">
        <f>$G$28/'Fixed data'!$C$7</f>
        <v>-9.1754215777777783E-3</v>
      </c>
      <c r="Q32" s="35">
        <f>$G$28/'Fixed data'!$C$7</f>
        <v>-9.1754215777777783E-3</v>
      </c>
      <c r="R32" s="35">
        <f>$G$28/'Fixed data'!$C$7</f>
        <v>-9.1754215777777783E-3</v>
      </c>
      <c r="S32" s="35">
        <f>$G$28/'Fixed data'!$C$7</f>
        <v>-9.1754215777777783E-3</v>
      </c>
      <c r="T32" s="35">
        <f>$G$28/'Fixed data'!$C$7</f>
        <v>-9.1754215777777783E-3</v>
      </c>
      <c r="U32" s="35">
        <f>$G$28/'Fixed data'!$C$7</f>
        <v>-9.1754215777777783E-3</v>
      </c>
      <c r="V32" s="35">
        <f>$G$28/'Fixed data'!$C$7</f>
        <v>-9.1754215777777783E-3</v>
      </c>
      <c r="W32" s="35">
        <f>$G$28/'Fixed data'!$C$7</f>
        <v>-9.1754215777777783E-3</v>
      </c>
      <c r="X32" s="35">
        <f>$G$28/'Fixed data'!$C$7</f>
        <v>-9.1754215777777783E-3</v>
      </c>
      <c r="Y32" s="35">
        <f>$G$28/'Fixed data'!$C$7</f>
        <v>-9.1754215777777783E-3</v>
      </c>
      <c r="Z32" s="35">
        <f>$G$28/'Fixed data'!$C$7</f>
        <v>-9.1754215777777783E-3</v>
      </c>
      <c r="AA32" s="35">
        <f>$G$28/'Fixed data'!$C$7</f>
        <v>-9.1754215777777783E-3</v>
      </c>
      <c r="AB32" s="35">
        <f>$G$28/'Fixed data'!$C$7</f>
        <v>-9.1754215777777783E-3</v>
      </c>
      <c r="AC32" s="35">
        <f>$G$28/'Fixed data'!$C$7</f>
        <v>-9.1754215777777783E-3</v>
      </c>
      <c r="AD32" s="35">
        <f>$G$28/'Fixed data'!$C$7</f>
        <v>-9.1754215777777783E-3</v>
      </c>
      <c r="AE32" s="35">
        <f>$G$28/'Fixed data'!$C$7</f>
        <v>-9.1754215777777783E-3</v>
      </c>
      <c r="AF32" s="35">
        <f>$G$28/'Fixed data'!$C$7</f>
        <v>-9.1754215777777783E-3</v>
      </c>
      <c r="AG32" s="35">
        <f>$G$28/'Fixed data'!$C$7</f>
        <v>-9.1754215777777783E-3</v>
      </c>
      <c r="AH32" s="35">
        <f>$G$28/'Fixed data'!$C$7</f>
        <v>-9.1754215777777783E-3</v>
      </c>
      <c r="AI32" s="35">
        <f>$G$28/'Fixed data'!$C$7</f>
        <v>-9.1754215777777783E-3</v>
      </c>
      <c r="AJ32" s="35">
        <f>$G$28/'Fixed data'!$C$7</f>
        <v>-9.1754215777777783E-3</v>
      </c>
      <c r="AK32" s="35">
        <f>$G$28/'Fixed data'!$C$7</f>
        <v>-9.1754215777777783E-3</v>
      </c>
      <c r="AL32" s="35">
        <f>$G$28/'Fixed data'!$C$7</f>
        <v>-9.1754215777777783E-3</v>
      </c>
      <c r="AM32" s="35">
        <f>$G$28/'Fixed data'!$C$7</f>
        <v>-9.1754215777777783E-3</v>
      </c>
      <c r="AN32" s="35">
        <f>$G$28/'Fixed data'!$C$7</f>
        <v>-9.1754215777777783E-3</v>
      </c>
      <c r="AO32" s="35">
        <f>$G$28/'Fixed data'!$C$7</f>
        <v>-9.1754215777777783E-3</v>
      </c>
      <c r="AP32" s="35">
        <f>$G$28/'Fixed data'!$C$7</f>
        <v>-9.1754215777777783E-3</v>
      </c>
      <c r="AQ32" s="35">
        <f>$G$28/'Fixed data'!$C$7</f>
        <v>-9.1754215777777783E-3</v>
      </c>
      <c r="AR32" s="35">
        <f>$G$28/'Fixed data'!$C$7</f>
        <v>-9.1754215777777783E-3</v>
      </c>
      <c r="AS32" s="35">
        <f>$G$28/'Fixed data'!$C$7</f>
        <v>-9.1754215777777783E-3</v>
      </c>
      <c r="AT32" s="35">
        <f>$G$28/'Fixed data'!$C$7</f>
        <v>-9.1754215777777783E-3</v>
      </c>
      <c r="AU32" s="35">
        <f>$G$28/'Fixed data'!$C$7</f>
        <v>-9.1754215777777783E-3</v>
      </c>
      <c r="AV32" s="35">
        <f>$G$28/'Fixed data'!$C$7</f>
        <v>-9.1754215777777783E-3</v>
      </c>
      <c r="AW32" s="35">
        <f>$G$28/'Fixed data'!$C$7</f>
        <v>-9.1754215777777783E-3</v>
      </c>
      <c r="AX32" s="35">
        <f>$G$28/'Fixed data'!$C$7</f>
        <v>-9.1754215777777783E-3</v>
      </c>
      <c r="AY32" s="35">
        <f>$G$28/'Fixed data'!$C$7</f>
        <v>-9.1754215777777783E-3</v>
      </c>
      <c r="AZ32" s="35">
        <f>$G$28/'Fixed data'!$C$7</f>
        <v>-9.1754215777777783E-3</v>
      </c>
      <c r="BA32" s="35"/>
      <c r="BB32" s="35"/>
      <c r="BC32" s="35"/>
      <c r="BD32" s="35"/>
    </row>
    <row r="33" spans="1:57" ht="16.5" hidden="1" customHeight="1" outlineLevel="1" x14ac:dyDescent="0.35">
      <c r="A33" s="114"/>
      <c r="B33" s="9" t="s">
        <v>4</v>
      </c>
      <c r="C33" s="11" t="s">
        <v>54</v>
      </c>
      <c r="D33" s="9" t="s">
        <v>39</v>
      </c>
      <c r="F33" s="35"/>
      <c r="G33" s="35"/>
      <c r="H33" s="35"/>
      <c r="I33" s="35">
        <f>$H$28/'Fixed data'!$C$7</f>
        <v>-8.6371617111111118E-3</v>
      </c>
      <c r="J33" s="35">
        <f>$H$28/'Fixed data'!$C$7</f>
        <v>-8.6371617111111118E-3</v>
      </c>
      <c r="K33" s="35">
        <f>$H$28/'Fixed data'!$C$7</f>
        <v>-8.6371617111111118E-3</v>
      </c>
      <c r="L33" s="35">
        <f>$H$28/'Fixed data'!$C$7</f>
        <v>-8.6371617111111118E-3</v>
      </c>
      <c r="M33" s="35">
        <f>$H$28/'Fixed data'!$C$7</f>
        <v>-8.6371617111111118E-3</v>
      </c>
      <c r="N33" s="35">
        <f>$H$28/'Fixed data'!$C$7</f>
        <v>-8.6371617111111118E-3</v>
      </c>
      <c r="O33" s="35">
        <f>$H$28/'Fixed data'!$C$7</f>
        <v>-8.6371617111111118E-3</v>
      </c>
      <c r="P33" s="35">
        <f>$H$28/'Fixed data'!$C$7</f>
        <v>-8.6371617111111118E-3</v>
      </c>
      <c r="Q33" s="35">
        <f>$H$28/'Fixed data'!$C$7</f>
        <v>-8.6371617111111118E-3</v>
      </c>
      <c r="R33" s="35">
        <f>$H$28/'Fixed data'!$C$7</f>
        <v>-8.6371617111111118E-3</v>
      </c>
      <c r="S33" s="35">
        <f>$H$28/'Fixed data'!$C$7</f>
        <v>-8.6371617111111118E-3</v>
      </c>
      <c r="T33" s="35">
        <f>$H$28/'Fixed data'!$C$7</f>
        <v>-8.6371617111111118E-3</v>
      </c>
      <c r="U33" s="35">
        <f>$H$28/'Fixed data'!$C$7</f>
        <v>-8.6371617111111118E-3</v>
      </c>
      <c r="V33" s="35">
        <f>$H$28/'Fixed data'!$C$7</f>
        <v>-8.6371617111111118E-3</v>
      </c>
      <c r="W33" s="35">
        <f>$H$28/'Fixed data'!$C$7</f>
        <v>-8.6371617111111118E-3</v>
      </c>
      <c r="X33" s="35">
        <f>$H$28/'Fixed data'!$C$7</f>
        <v>-8.6371617111111118E-3</v>
      </c>
      <c r="Y33" s="35">
        <f>$H$28/'Fixed data'!$C$7</f>
        <v>-8.6371617111111118E-3</v>
      </c>
      <c r="Z33" s="35">
        <f>$H$28/'Fixed data'!$C$7</f>
        <v>-8.6371617111111118E-3</v>
      </c>
      <c r="AA33" s="35">
        <f>$H$28/'Fixed data'!$C$7</f>
        <v>-8.6371617111111118E-3</v>
      </c>
      <c r="AB33" s="35">
        <f>$H$28/'Fixed data'!$C$7</f>
        <v>-8.6371617111111118E-3</v>
      </c>
      <c r="AC33" s="35">
        <f>$H$28/'Fixed data'!$C$7</f>
        <v>-8.6371617111111118E-3</v>
      </c>
      <c r="AD33" s="35">
        <f>$H$28/'Fixed data'!$C$7</f>
        <v>-8.6371617111111118E-3</v>
      </c>
      <c r="AE33" s="35">
        <f>$H$28/'Fixed data'!$C$7</f>
        <v>-8.6371617111111118E-3</v>
      </c>
      <c r="AF33" s="35">
        <f>$H$28/'Fixed data'!$C$7</f>
        <v>-8.6371617111111118E-3</v>
      </c>
      <c r="AG33" s="35">
        <f>$H$28/'Fixed data'!$C$7</f>
        <v>-8.6371617111111118E-3</v>
      </c>
      <c r="AH33" s="35">
        <f>$H$28/'Fixed data'!$C$7</f>
        <v>-8.6371617111111118E-3</v>
      </c>
      <c r="AI33" s="35">
        <f>$H$28/'Fixed data'!$C$7</f>
        <v>-8.6371617111111118E-3</v>
      </c>
      <c r="AJ33" s="35">
        <f>$H$28/'Fixed data'!$C$7</f>
        <v>-8.6371617111111118E-3</v>
      </c>
      <c r="AK33" s="35">
        <f>$H$28/'Fixed data'!$C$7</f>
        <v>-8.6371617111111118E-3</v>
      </c>
      <c r="AL33" s="35">
        <f>$H$28/'Fixed data'!$C$7</f>
        <v>-8.6371617111111118E-3</v>
      </c>
      <c r="AM33" s="35">
        <f>$H$28/'Fixed data'!$C$7</f>
        <v>-8.6371617111111118E-3</v>
      </c>
      <c r="AN33" s="35">
        <f>$H$28/'Fixed data'!$C$7</f>
        <v>-8.6371617111111118E-3</v>
      </c>
      <c r="AO33" s="35">
        <f>$H$28/'Fixed data'!$C$7</f>
        <v>-8.6371617111111118E-3</v>
      </c>
      <c r="AP33" s="35">
        <f>$H$28/'Fixed data'!$C$7</f>
        <v>-8.6371617111111118E-3</v>
      </c>
      <c r="AQ33" s="35">
        <f>$H$28/'Fixed data'!$C$7</f>
        <v>-8.6371617111111118E-3</v>
      </c>
      <c r="AR33" s="35">
        <f>$H$28/'Fixed data'!$C$7</f>
        <v>-8.6371617111111118E-3</v>
      </c>
      <c r="AS33" s="35">
        <f>$H$28/'Fixed data'!$C$7</f>
        <v>-8.6371617111111118E-3</v>
      </c>
      <c r="AT33" s="35">
        <f>$H$28/'Fixed data'!$C$7</f>
        <v>-8.6371617111111118E-3</v>
      </c>
      <c r="AU33" s="35">
        <f>$H$28/'Fixed data'!$C$7</f>
        <v>-8.6371617111111118E-3</v>
      </c>
      <c r="AV33" s="35">
        <f>$H$28/'Fixed data'!$C$7</f>
        <v>-8.6371617111111118E-3</v>
      </c>
      <c r="AW33" s="35">
        <f>$H$28/'Fixed data'!$C$7</f>
        <v>-8.6371617111111118E-3</v>
      </c>
      <c r="AX33" s="35">
        <f>$H$28/'Fixed data'!$C$7</f>
        <v>-8.6371617111111118E-3</v>
      </c>
      <c r="AY33" s="35">
        <f>$H$28/'Fixed data'!$C$7</f>
        <v>-8.6371617111111118E-3</v>
      </c>
      <c r="AZ33" s="35">
        <f>$H$28/'Fixed data'!$C$7</f>
        <v>-8.6371617111111118E-3</v>
      </c>
      <c r="BA33" s="35">
        <f>$H$28/'Fixed data'!$C$7</f>
        <v>-8.6371617111111118E-3</v>
      </c>
      <c r="BB33" s="35"/>
      <c r="BC33" s="35"/>
      <c r="BD33" s="35"/>
    </row>
    <row r="34" spans="1:57" ht="16.5" hidden="1" customHeight="1" outlineLevel="1" x14ac:dyDescent="0.35">
      <c r="A34" s="114"/>
      <c r="B34" s="9" t="s">
        <v>5</v>
      </c>
      <c r="C34" s="11" t="s">
        <v>55</v>
      </c>
      <c r="D34" s="9" t="s">
        <v>39</v>
      </c>
      <c r="F34" s="35"/>
      <c r="G34" s="35"/>
      <c r="H34" s="35"/>
      <c r="I34" s="35"/>
      <c r="J34" s="35">
        <f>$I$28/'Fixed data'!$C$7</f>
        <v>-5.9651568242424201E-3</v>
      </c>
      <c r="K34" s="35">
        <f>$I$28/'Fixed data'!$C$7</f>
        <v>-5.9651568242424201E-3</v>
      </c>
      <c r="L34" s="35">
        <f>$I$28/'Fixed data'!$C$7</f>
        <v>-5.9651568242424201E-3</v>
      </c>
      <c r="M34" s="35">
        <f>$I$28/'Fixed data'!$C$7</f>
        <v>-5.9651568242424201E-3</v>
      </c>
      <c r="N34" s="35">
        <f>$I$28/'Fixed data'!$C$7</f>
        <v>-5.9651568242424201E-3</v>
      </c>
      <c r="O34" s="35">
        <f>$I$28/'Fixed data'!$C$7</f>
        <v>-5.9651568242424201E-3</v>
      </c>
      <c r="P34" s="35">
        <f>$I$28/'Fixed data'!$C$7</f>
        <v>-5.9651568242424201E-3</v>
      </c>
      <c r="Q34" s="35">
        <f>$I$28/'Fixed data'!$C$7</f>
        <v>-5.9651568242424201E-3</v>
      </c>
      <c r="R34" s="35">
        <f>$I$28/'Fixed data'!$C$7</f>
        <v>-5.9651568242424201E-3</v>
      </c>
      <c r="S34" s="35">
        <f>$I$28/'Fixed data'!$C$7</f>
        <v>-5.9651568242424201E-3</v>
      </c>
      <c r="T34" s="35">
        <f>$I$28/'Fixed data'!$C$7</f>
        <v>-5.9651568242424201E-3</v>
      </c>
      <c r="U34" s="35">
        <f>$I$28/'Fixed data'!$C$7</f>
        <v>-5.9651568242424201E-3</v>
      </c>
      <c r="V34" s="35">
        <f>$I$28/'Fixed data'!$C$7</f>
        <v>-5.9651568242424201E-3</v>
      </c>
      <c r="W34" s="35">
        <f>$I$28/'Fixed data'!$C$7</f>
        <v>-5.9651568242424201E-3</v>
      </c>
      <c r="X34" s="35">
        <f>$I$28/'Fixed data'!$C$7</f>
        <v>-5.9651568242424201E-3</v>
      </c>
      <c r="Y34" s="35">
        <f>$I$28/'Fixed data'!$C$7</f>
        <v>-5.9651568242424201E-3</v>
      </c>
      <c r="Z34" s="35">
        <f>$I$28/'Fixed data'!$C$7</f>
        <v>-5.9651568242424201E-3</v>
      </c>
      <c r="AA34" s="35">
        <f>$I$28/'Fixed data'!$C$7</f>
        <v>-5.9651568242424201E-3</v>
      </c>
      <c r="AB34" s="35">
        <f>$I$28/'Fixed data'!$C$7</f>
        <v>-5.9651568242424201E-3</v>
      </c>
      <c r="AC34" s="35">
        <f>$I$28/'Fixed data'!$C$7</f>
        <v>-5.9651568242424201E-3</v>
      </c>
      <c r="AD34" s="35">
        <f>$I$28/'Fixed data'!$C$7</f>
        <v>-5.9651568242424201E-3</v>
      </c>
      <c r="AE34" s="35">
        <f>$I$28/'Fixed data'!$C$7</f>
        <v>-5.9651568242424201E-3</v>
      </c>
      <c r="AF34" s="35">
        <f>$I$28/'Fixed data'!$C$7</f>
        <v>-5.9651568242424201E-3</v>
      </c>
      <c r="AG34" s="35">
        <f>$I$28/'Fixed data'!$C$7</f>
        <v>-5.9651568242424201E-3</v>
      </c>
      <c r="AH34" s="35">
        <f>$I$28/'Fixed data'!$C$7</f>
        <v>-5.9651568242424201E-3</v>
      </c>
      <c r="AI34" s="35">
        <f>$I$28/'Fixed data'!$C$7</f>
        <v>-5.9651568242424201E-3</v>
      </c>
      <c r="AJ34" s="35">
        <f>$I$28/'Fixed data'!$C$7</f>
        <v>-5.9651568242424201E-3</v>
      </c>
      <c r="AK34" s="35">
        <f>$I$28/'Fixed data'!$C$7</f>
        <v>-5.9651568242424201E-3</v>
      </c>
      <c r="AL34" s="35">
        <f>$I$28/'Fixed data'!$C$7</f>
        <v>-5.9651568242424201E-3</v>
      </c>
      <c r="AM34" s="35">
        <f>$I$28/'Fixed data'!$C$7</f>
        <v>-5.9651568242424201E-3</v>
      </c>
      <c r="AN34" s="35">
        <f>$I$28/'Fixed data'!$C$7</f>
        <v>-5.9651568242424201E-3</v>
      </c>
      <c r="AO34" s="35">
        <f>$I$28/'Fixed data'!$C$7</f>
        <v>-5.9651568242424201E-3</v>
      </c>
      <c r="AP34" s="35">
        <f>$I$28/'Fixed data'!$C$7</f>
        <v>-5.9651568242424201E-3</v>
      </c>
      <c r="AQ34" s="35">
        <f>$I$28/'Fixed data'!$C$7</f>
        <v>-5.9651568242424201E-3</v>
      </c>
      <c r="AR34" s="35">
        <f>$I$28/'Fixed data'!$C$7</f>
        <v>-5.9651568242424201E-3</v>
      </c>
      <c r="AS34" s="35">
        <f>$I$28/'Fixed data'!$C$7</f>
        <v>-5.9651568242424201E-3</v>
      </c>
      <c r="AT34" s="35">
        <f>$I$28/'Fixed data'!$C$7</f>
        <v>-5.9651568242424201E-3</v>
      </c>
      <c r="AU34" s="35">
        <f>$I$28/'Fixed data'!$C$7</f>
        <v>-5.9651568242424201E-3</v>
      </c>
      <c r="AV34" s="35">
        <f>$I$28/'Fixed data'!$C$7</f>
        <v>-5.9651568242424201E-3</v>
      </c>
      <c r="AW34" s="35">
        <f>$I$28/'Fixed data'!$C$7</f>
        <v>-5.9651568242424201E-3</v>
      </c>
      <c r="AX34" s="35">
        <f>$I$28/'Fixed data'!$C$7</f>
        <v>-5.9651568242424201E-3</v>
      </c>
      <c r="AY34" s="35">
        <f>$I$28/'Fixed data'!$C$7</f>
        <v>-5.9651568242424201E-3</v>
      </c>
      <c r="AZ34" s="35">
        <f>$I$28/'Fixed data'!$C$7</f>
        <v>-5.9651568242424201E-3</v>
      </c>
      <c r="BA34" s="35">
        <f>$I$28/'Fixed data'!$C$7</f>
        <v>-5.9651568242424201E-3</v>
      </c>
      <c r="BB34" s="35">
        <f>$I$28/'Fixed data'!$C$7</f>
        <v>-5.9651568242424201E-3</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-7.9232519333333334E-3</v>
      </c>
      <c r="G60" s="35">
        <f t="shared" si="5"/>
        <v>-1.653102437777778E-2</v>
      </c>
      <c r="H60" s="35">
        <f t="shared" si="5"/>
        <v>-2.570644595555556E-2</v>
      </c>
      <c r="I60" s="35">
        <f t="shared" si="5"/>
        <v>-3.4343607666666671E-2</v>
      </c>
      <c r="J60" s="35">
        <f t="shared" si="5"/>
        <v>-4.0308764490909088E-2</v>
      </c>
      <c r="K60" s="35">
        <f t="shared" si="5"/>
        <v>-4.0308764490909088E-2</v>
      </c>
      <c r="L60" s="35">
        <f t="shared" si="5"/>
        <v>-4.0308764490909088E-2</v>
      </c>
      <c r="M60" s="35">
        <f t="shared" si="5"/>
        <v>-4.0308764490909088E-2</v>
      </c>
      <c r="N60" s="35">
        <f t="shared" si="5"/>
        <v>-4.0308764490909088E-2</v>
      </c>
      <c r="O60" s="35">
        <f t="shared" si="5"/>
        <v>-4.0308764490909088E-2</v>
      </c>
      <c r="P60" s="35">
        <f t="shared" si="5"/>
        <v>-4.0308764490909088E-2</v>
      </c>
      <c r="Q60" s="35">
        <f t="shared" si="5"/>
        <v>-4.0308764490909088E-2</v>
      </c>
      <c r="R60" s="35">
        <f t="shared" si="5"/>
        <v>-4.0308764490909088E-2</v>
      </c>
      <c r="S60" s="35">
        <f t="shared" si="5"/>
        <v>-4.0308764490909088E-2</v>
      </c>
      <c r="T60" s="35">
        <f t="shared" si="5"/>
        <v>-4.0308764490909088E-2</v>
      </c>
      <c r="U60" s="35">
        <f t="shared" si="5"/>
        <v>-4.0308764490909088E-2</v>
      </c>
      <c r="V60" s="35">
        <f t="shared" si="5"/>
        <v>-4.0308764490909088E-2</v>
      </c>
      <c r="W60" s="35">
        <f t="shared" si="5"/>
        <v>-4.0308764490909088E-2</v>
      </c>
      <c r="X60" s="35">
        <f t="shared" si="5"/>
        <v>-4.0308764490909088E-2</v>
      </c>
      <c r="Y60" s="35">
        <f t="shared" si="5"/>
        <v>-4.0308764490909088E-2</v>
      </c>
      <c r="Z60" s="35">
        <f t="shared" si="5"/>
        <v>-4.0308764490909088E-2</v>
      </c>
      <c r="AA60" s="35">
        <f t="shared" si="5"/>
        <v>-4.0308764490909088E-2</v>
      </c>
      <c r="AB60" s="35">
        <f t="shared" si="5"/>
        <v>-4.0308764490909088E-2</v>
      </c>
      <c r="AC60" s="35">
        <f t="shared" si="5"/>
        <v>-4.0308764490909088E-2</v>
      </c>
      <c r="AD60" s="35">
        <f t="shared" si="5"/>
        <v>-4.0308764490909088E-2</v>
      </c>
      <c r="AE60" s="35">
        <f t="shared" si="5"/>
        <v>-4.0308764490909088E-2</v>
      </c>
      <c r="AF60" s="35">
        <f t="shared" si="5"/>
        <v>-4.0308764490909088E-2</v>
      </c>
      <c r="AG60" s="35">
        <f t="shared" si="5"/>
        <v>-4.0308764490909088E-2</v>
      </c>
      <c r="AH60" s="35">
        <f t="shared" si="5"/>
        <v>-4.0308764490909088E-2</v>
      </c>
      <c r="AI60" s="35">
        <f t="shared" si="5"/>
        <v>-4.0308764490909088E-2</v>
      </c>
      <c r="AJ60" s="35">
        <f t="shared" si="5"/>
        <v>-4.0308764490909088E-2</v>
      </c>
      <c r="AK60" s="35">
        <f t="shared" si="5"/>
        <v>-4.0308764490909088E-2</v>
      </c>
      <c r="AL60" s="35">
        <f t="shared" si="5"/>
        <v>-4.0308764490909088E-2</v>
      </c>
      <c r="AM60" s="35">
        <f t="shared" si="5"/>
        <v>-4.0308764490909088E-2</v>
      </c>
      <c r="AN60" s="35">
        <f t="shared" si="5"/>
        <v>-4.0308764490909088E-2</v>
      </c>
      <c r="AO60" s="35">
        <f t="shared" si="5"/>
        <v>-4.0308764490909088E-2</v>
      </c>
      <c r="AP60" s="35">
        <f t="shared" si="5"/>
        <v>-4.0308764490909088E-2</v>
      </c>
      <c r="AQ60" s="35">
        <f t="shared" si="5"/>
        <v>-4.0308764490909088E-2</v>
      </c>
      <c r="AR60" s="35">
        <f t="shared" si="5"/>
        <v>-4.0308764490909088E-2</v>
      </c>
      <c r="AS60" s="35">
        <f t="shared" si="5"/>
        <v>-4.0308764490909088E-2</v>
      </c>
      <c r="AT60" s="35">
        <f t="shared" si="5"/>
        <v>-4.0308764490909088E-2</v>
      </c>
      <c r="AU60" s="35">
        <f t="shared" si="5"/>
        <v>-4.0308764490909088E-2</v>
      </c>
      <c r="AV60" s="35">
        <f t="shared" si="5"/>
        <v>-4.0308764490909088E-2</v>
      </c>
      <c r="AW60" s="35">
        <f t="shared" si="5"/>
        <v>-4.0308764490909088E-2</v>
      </c>
      <c r="AX60" s="35">
        <f t="shared" si="5"/>
        <v>-4.0308764490909088E-2</v>
      </c>
      <c r="AY60" s="35">
        <f t="shared" si="5"/>
        <v>-3.2385512557575755E-2</v>
      </c>
      <c r="AZ60" s="35">
        <f t="shared" si="5"/>
        <v>-2.3777740113131312E-2</v>
      </c>
      <c r="BA60" s="35">
        <f t="shared" si="5"/>
        <v>-1.4602318535353532E-2</v>
      </c>
      <c r="BB60" s="35">
        <f t="shared" si="5"/>
        <v>-5.9651568242424201E-3</v>
      </c>
      <c r="BC60" s="35">
        <f t="shared" si="5"/>
        <v>0</v>
      </c>
      <c r="BD60" s="35">
        <f t="shared" si="5"/>
        <v>0</v>
      </c>
    </row>
    <row r="61" spans="1:56" ht="17.25" hidden="1" customHeight="1" outlineLevel="1" x14ac:dyDescent="0.35">
      <c r="A61" s="114"/>
      <c r="B61" s="9" t="s">
        <v>34</v>
      </c>
      <c r="C61" s="9" t="s">
        <v>60</v>
      </c>
      <c r="D61" s="9" t="s">
        <v>39</v>
      </c>
      <c r="E61" s="35">
        <v>0</v>
      </c>
      <c r="F61" s="35">
        <f>E62</f>
        <v>-0.35654633699999999</v>
      </c>
      <c r="G61" s="35">
        <f t="shared" ref="G61:BD61" si="6">F62</f>
        <v>-0.73597284506666671</v>
      </c>
      <c r="H61" s="35">
        <f t="shared" si="6"/>
        <v>-1.132335791688889</v>
      </c>
      <c r="I61" s="35">
        <f t="shared" si="6"/>
        <v>-1.4953016227333333</v>
      </c>
      <c r="J61" s="35">
        <f t="shared" si="6"/>
        <v>-1.7293900721575755</v>
      </c>
      <c r="K61" s="35">
        <f t="shared" si="6"/>
        <v>-1.6890813076666664</v>
      </c>
      <c r="L61" s="35">
        <f t="shared" si="6"/>
        <v>-1.6487725431757574</v>
      </c>
      <c r="M61" s="35">
        <f t="shared" si="6"/>
        <v>-1.6084637786848484</v>
      </c>
      <c r="N61" s="35">
        <f t="shared" si="6"/>
        <v>-1.5681550141939393</v>
      </c>
      <c r="O61" s="35">
        <f t="shared" si="6"/>
        <v>-1.5278462497030303</v>
      </c>
      <c r="P61" s="35">
        <f t="shared" si="6"/>
        <v>-1.4875374852121213</v>
      </c>
      <c r="Q61" s="35">
        <f t="shared" si="6"/>
        <v>-1.4472287207212122</v>
      </c>
      <c r="R61" s="35">
        <f t="shared" si="6"/>
        <v>-1.4069199562303032</v>
      </c>
      <c r="S61" s="35">
        <f t="shared" si="6"/>
        <v>-1.3666111917393942</v>
      </c>
      <c r="T61" s="35">
        <f t="shared" si="6"/>
        <v>-1.3263024272484851</v>
      </c>
      <c r="U61" s="35">
        <f t="shared" si="6"/>
        <v>-1.2859936627575761</v>
      </c>
      <c r="V61" s="35">
        <f t="shared" si="6"/>
        <v>-1.2456848982666671</v>
      </c>
      <c r="W61" s="35">
        <f t="shared" si="6"/>
        <v>-1.205376133775758</v>
      </c>
      <c r="X61" s="35">
        <f t="shared" si="6"/>
        <v>-1.165067369284849</v>
      </c>
      <c r="Y61" s="35">
        <f t="shared" si="6"/>
        <v>-1.12475860479394</v>
      </c>
      <c r="Z61" s="35">
        <f t="shared" si="6"/>
        <v>-1.0844498403030309</v>
      </c>
      <c r="AA61" s="35">
        <f t="shared" si="6"/>
        <v>-1.0441410758121219</v>
      </c>
      <c r="AB61" s="35">
        <f t="shared" si="6"/>
        <v>-1.0038323113212129</v>
      </c>
      <c r="AC61" s="35">
        <f t="shared" si="6"/>
        <v>-0.96352354683030383</v>
      </c>
      <c r="AD61" s="35">
        <f t="shared" si="6"/>
        <v>-0.9232147823393948</v>
      </c>
      <c r="AE61" s="35">
        <f t="shared" si="6"/>
        <v>-0.88290601784848577</v>
      </c>
      <c r="AF61" s="35">
        <f t="shared" si="6"/>
        <v>-0.84259725335757674</v>
      </c>
      <c r="AG61" s="35">
        <f t="shared" si="6"/>
        <v>-0.8022884888666677</v>
      </c>
      <c r="AH61" s="35">
        <f t="shared" si="6"/>
        <v>-0.76197972437575867</v>
      </c>
      <c r="AI61" s="35">
        <f t="shared" si="6"/>
        <v>-0.72167095988484964</v>
      </c>
      <c r="AJ61" s="35">
        <f t="shared" si="6"/>
        <v>-0.68136219539394061</v>
      </c>
      <c r="AK61" s="35">
        <f t="shared" si="6"/>
        <v>-0.64105343090303157</v>
      </c>
      <c r="AL61" s="35">
        <f t="shared" si="6"/>
        <v>-0.60074466641212254</v>
      </c>
      <c r="AM61" s="35">
        <f t="shared" si="6"/>
        <v>-0.56043590192121351</v>
      </c>
      <c r="AN61" s="35">
        <f t="shared" si="6"/>
        <v>-0.52012713743030448</v>
      </c>
      <c r="AO61" s="35">
        <f t="shared" si="6"/>
        <v>-0.47981837293939539</v>
      </c>
      <c r="AP61" s="35">
        <f t="shared" si="6"/>
        <v>-0.4395096084484863</v>
      </c>
      <c r="AQ61" s="35">
        <f t="shared" si="6"/>
        <v>-0.39920084395757721</v>
      </c>
      <c r="AR61" s="35">
        <f t="shared" si="6"/>
        <v>-0.35889207946666812</v>
      </c>
      <c r="AS61" s="35">
        <f t="shared" si="6"/>
        <v>-0.31858331497575904</v>
      </c>
      <c r="AT61" s="35">
        <f t="shared" si="6"/>
        <v>-0.27827455048484995</v>
      </c>
      <c r="AU61" s="35">
        <f t="shared" si="6"/>
        <v>-0.23796578599394086</v>
      </c>
      <c r="AV61" s="35">
        <f t="shared" si="6"/>
        <v>-0.19765702150303177</v>
      </c>
      <c r="AW61" s="35">
        <f t="shared" si="6"/>
        <v>-0.15734825701212268</v>
      </c>
      <c r="AX61" s="35">
        <f t="shared" si="6"/>
        <v>-0.1170394925212136</v>
      </c>
      <c r="AY61" s="35">
        <f t="shared" si="6"/>
        <v>-7.6730728030304507E-2</v>
      </c>
      <c r="AZ61" s="35">
        <f t="shared" si="6"/>
        <v>-4.4345215472728752E-2</v>
      </c>
      <c r="BA61" s="35">
        <f t="shared" si="6"/>
        <v>-2.056747535959744E-2</v>
      </c>
      <c r="BB61" s="35">
        <f t="shared" si="6"/>
        <v>-5.9651568242439085E-3</v>
      </c>
      <c r="BC61" s="35">
        <f t="shared" si="6"/>
        <v>-1.4883927423881005E-15</v>
      </c>
      <c r="BD61" s="35">
        <f t="shared" si="6"/>
        <v>-1.4883927423881005E-15</v>
      </c>
    </row>
    <row r="62" spans="1:56" ht="16.5" hidden="1" customHeight="1" outlineLevel="1" x14ac:dyDescent="0.3">
      <c r="A62" s="114"/>
      <c r="B62" s="9" t="s">
        <v>33</v>
      </c>
      <c r="C62" s="9" t="s">
        <v>67</v>
      </c>
      <c r="D62" s="9" t="s">
        <v>39</v>
      </c>
      <c r="E62" s="35">
        <f t="shared" ref="E62:BD62" si="7">E28-E60+E61</f>
        <v>-0.35654633699999999</v>
      </c>
      <c r="F62" s="35">
        <f t="shared" si="7"/>
        <v>-0.73597284506666671</v>
      </c>
      <c r="G62" s="35">
        <f t="shared" si="7"/>
        <v>-1.132335791688889</v>
      </c>
      <c r="H62" s="35">
        <f t="shared" si="7"/>
        <v>-1.4953016227333333</v>
      </c>
      <c r="I62" s="35">
        <f t="shared" si="7"/>
        <v>-1.7293900721575755</v>
      </c>
      <c r="J62" s="35">
        <f t="shared" si="7"/>
        <v>-1.6890813076666664</v>
      </c>
      <c r="K62" s="35">
        <f t="shared" si="7"/>
        <v>-1.6487725431757574</v>
      </c>
      <c r="L62" s="35">
        <f t="shared" si="7"/>
        <v>-1.6084637786848484</v>
      </c>
      <c r="M62" s="35">
        <f t="shared" si="7"/>
        <v>-1.5681550141939393</v>
      </c>
      <c r="N62" s="35">
        <f t="shared" si="7"/>
        <v>-1.5278462497030303</v>
      </c>
      <c r="O62" s="35">
        <f t="shared" si="7"/>
        <v>-1.4875374852121213</v>
      </c>
      <c r="P62" s="35">
        <f t="shared" si="7"/>
        <v>-1.4472287207212122</v>
      </c>
      <c r="Q62" s="35">
        <f t="shared" si="7"/>
        <v>-1.4069199562303032</v>
      </c>
      <c r="R62" s="35">
        <f t="shared" si="7"/>
        <v>-1.3666111917393942</v>
      </c>
      <c r="S62" s="35">
        <f t="shared" si="7"/>
        <v>-1.3263024272484851</v>
      </c>
      <c r="T62" s="35">
        <f t="shared" si="7"/>
        <v>-1.2859936627575761</v>
      </c>
      <c r="U62" s="35">
        <f t="shared" si="7"/>
        <v>-1.2456848982666671</v>
      </c>
      <c r="V62" s="35">
        <f t="shared" si="7"/>
        <v>-1.205376133775758</v>
      </c>
      <c r="W62" s="35">
        <f t="shared" si="7"/>
        <v>-1.165067369284849</v>
      </c>
      <c r="X62" s="35">
        <f t="shared" si="7"/>
        <v>-1.12475860479394</v>
      </c>
      <c r="Y62" s="35">
        <f t="shared" si="7"/>
        <v>-1.0844498403030309</v>
      </c>
      <c r="Z62" s="35">
        <f t="shared" si="7"/>
        <v>-1.0441410758121219</v>
      </c>
      <c r="AA62" s="35">
        <f t="shared" si="7"/>
        <v>-1.0038323113212129</v>
      </c>
      <c r="AB62" s="35">
        <f t="shared" si="7"/>
        <v>-0.96352354683030383</v>
      </c>
      <c r="AC62" s="35">
        <f t="shared" si="7"/>
        <v>-0.9232147823393948</v>
      </c>
      <c r="AD62" s="35">
        <f t="shared" si="7"/>
        <v>-0.88290601784848577</v>
      </c>
      <c r="AE62" s="35">
        <f t="shared" si="7"/>
        <v>-0.84259725335757674</v>
      </c>
      <c r="AF62" s="35">
        <f t="shared" si="7"/>
        <v>-0.8022884888666677</v>
      </c>
      <c r="AG62" s="35">
        <f t="shared" si="7"/>
        <v>-0.76197972437575867</v>
      </c>
      <c r="AH62" s="35">
        <f t="shared" si="7"/>
        <v>-0.72167095988484964</v>
      </c>
      <c r="AI62" s="35">
        <f t="shared" si="7"/>
        <v>-0.68136219539394061</v>
      </c>
      <c r="AJ62" s="35">
        <f t="shared" si="7"/>
        <v>-0.64105343090303157</v>
      </c>
      <c r="AK62" s="35">
        <f t="shared" si="7"/>
        <v>-0.60074466641212254</v>
      </c>
      <c r="AL62" s="35">
        <f t="shared" si="7"/>
        <v>-0.56043590192121351</v>
      </c>
      <c r="AM62" s="35">
        <f t="shared" si="7"/>
        <v>-0.52012713743030448</v>
      </c>
      <c r="AN62" s="35">
        <f t="shared" si="7"/>
        <v>-0.47981837293939539</v>
      </c>
      <c r="AO62" s="35">
        <f t="shared" si="7"/>
        <v>-0.4395096084484863</v>
      </c>
      <c r="AP62" s="35">
        <f t="shared" si="7"/>
        <v>-0.39920084395757721</v>
      </c>
      <c r="AQ62" s="35">
        <f t="shared" si="7"/>
        <v>-0.35889207946666812</v>
      </c>
      <c r="AR62" s="35">
        <f t="shared" si="7"/>
        <v>-0.31858331497575904</v>
      </c>
      <c r="AS62" s="35">
        <f t="shared" si="7"/>
        <v>-0.27827455048484995</v>
      </c>
      <c r="AT62" s="35">
        <f t="shared" si="7"/>
        <v>-0.23796578599394086</v>
      </c>
      <c r="AU62" s="35">
        <f t="shared" si="7"/>
        <v>-0.19765702150303177</v>
      </c>
      <c r="AV62" s="35">
        <f t="shared" si="7"/>
        <v>-0.15734825701212268</v>
      </c>
      <c r="AW62" s="35">
        <f t="shared" si="7"/>
        <v>-0.1170394925212136</v>
      </c>
      <c r="AX62" s="35">
        <f t="shared" si="7"/>
        <v>-7.6730728030304507E-2</v>
      </c>
      <c r="AY62" s="35">
        <f t="shared" si="7"/>
        <v>-4.4345215472728752E-2</v>
      </c>
      <c r="AZ62" s="35">
        <f t="shared" si="7"/>
        <v>-2.056747535959744E-2</v>
      </c>
      <c r="BA62" s="35">
        <f t="shared" si="7"/>
        <v>-5.9651568242439085E-3</v>
      </c>
      <c r="BB62" s="35">
        <f t="shared" si="7"/>
        <v>-1.4883927423881005E-15</v>
      </c>
      <c r="BC62" s="35">
        <f t="shared" si="7"/>
        <v>-1.4883927423881005E-15</v>
      </c>
      <c r="BD62" s="35">
        <f t="shared" si="7"/>
        <v>-1.4883927423881005E-15</v>
      </c>
    </row>
    <row r="63" spans="1:56" ht="16.5" collapsed="1" x14ac:dyDescent="0.3">
      <c r="A63" s="114"/>
      <c r="B63" s="9" t="s">
        <v>8</v>
      </c>
      <c r="C63" s="11" t="s">
        <v>66</v>
      </c>
      <c r="D63" s="9" t="s">
        <v>39</v>
      </c>
      <c r="E63" s="35">
        <f>AVERAGE(E61:E62)*'Fixed data'!$C$3</f>
        <v>-7.1309267399999997E-3</v>
      </c>
      <c r="F63" s="35">
        <f>AVERAGE(F61:F62)*'Fixed data'!$C$3</f>
        <v>-2.1850383641333335E-2</v>
      </c>
      <c r="G63" s="35">
        <f>AVERAGE(G61:G62)*'Fixed data'!$C$3</f>
        <v>-3.7366172735111114E-2</v>
      </c>
      <c r="H63" s="35">
        <f>AVERAGE(H61:H62)*'Fixed data'!$C$3</f>
        <v>-5.2552748288444445E-2</v>
      </c>
      <c r="I63" s="35">
        <f>AVERAGE(I61:I62)*'Fixed data'!$C$3</f>
        <v>-6.4493833897818181E-2</v>
      </c>
      <c r="J63" s="35">
        <f>AVERAGE(J61:J62)*'Fixed data'!$C$3</f>
        <v>-6.836942759648483E-2</v>
      </c>
      <c r="K63" s="35">
        <f>AVERAGE(K61:K62)*'Fixed data'!$C$3</f>
        <v>-6.6757077016848479E-2</v>
      </c>
      <c r="L63" s="35">
        <f>AVERAGE(L61:L62)*'Fixed data'!$C$3</f>
        <v>-6.5144726437212114E-2</v>
      </c>
      <c r="M63" s="35">
        <f>AVERAGE(M61:M62)*'Fixed data'!$C$3</f>
        <v>-6.3532375857575762E-2</v>
      </c>
      <c r="N63" s="35">
        <f>AVERAGE(N61:N62)*'Fixed data'!$C$3</f>
        <v>-6.192002527793939E-2</v>
      </c>
      <c r="O63" s="35">
        <f>AVERAGE(O61:O62)*'Fixed data'!$C$3</f>
        <v>-6.0307674698303039E-2</v>
      </c>
      <c r="P63" s="35">
        <f>AVERAGE(P61:P62)*'Fixed data'!$C$3</f>
        <v>-5.8695324118666667E-2</v>
      </c>
      <c r="Q63" s="35">
        <f>AVERAGE(Q61:Q62)*'Fixed data'!$C$3</f>
        <v>-5.7082973539030316E-2</v>
      </c>
      <c r="R63" s="35">
        <f>AVERAGE(R61:R62)*'Fixed data'!$C$3</f>
        <v>-5.5470622959393943E-2</v>
      </c>
      <c r="S63" s="35">
        <f>AVERAGE(S61:S62)*'Fixed data'!$C$3</f>
        <v>-5.3858272379757592E-2</v>
      </c>
      <c r="T63" s="35">
        <f>AVERAGE(T61:T62)*'Fixed data'!$C$3</f>
        <v>-5.224592180012122E-2</v>
      </c>
      <c r="U63" s="35">
        <f>AVERAGE(U61:U62)*'Fixed data'!$C$3</f>
        <v>-5.0633571220484869E-2</v>
      </c>
      <c r="V63" s="35">
        <f>AVERAGE(V61:V62)*'Fixed data'!$C$3</f>
        <v>-4.9021220640848497E-2</v>
      </c>
      <c r="W63" s="35">
        <f>AVERAGE(W61:W62)*'Fixed data'!$C$3</f>
        <v>-4.7408870061212145E-2</v>
      </c>
      <c r="X63" s="35">
        <f>AVERAGE(X61:X62)*'Fixed data'!$C$3</f>
        <v>-4.5796519481575773E-2</v>
      </c>
      <c r="Y63" s="35">
        <f>AVERAGE(Y61:Y62)*'Fixed data'!$C$3</f>
        <v>-4.4184168901939422E-2</v>
      </c>
      <c r="Z63" s="35">
        <f>AVERAGE(Z61:Z62)*'Fixed data'!$C$3</f>
        <v>-4.257181832230305E-2</v>
      </c>
      <c r="AA63" s="35">
        <f>AVERAGE(AA61:AA62)*'Fixed data'!$C$3</f>
        <v>-4.0959467742666698E-2</v>
      </c>
      <c r="AB63" s="35">
        <f>AVERAGE(AB61:AB62)*'Fixed data'!$C$3</f>
        <v>-3.9347117163030333E-2</v>
      </c>
      <c r="AC63" s="35">
        <f>AVERAGE(AC61:AC62)*'Fixed data'!$C$3</f>
        <v>-3.7734766583393975E-2</v>
      </c>
      <c r="AD63" s="35">
        <f>AVERAGE(AD61:AD62)*'Fixed data'!$C$3</f>
        <v>-3.612241600375761E-2</v>
      </c>
      <c r="AE63" s="35">
        <f>AVERAGE(AE61:AE62)*'Fixed data'!$C$3</f>
        <v>-3.4510065424121251E-2</v>
      </c>
      <c r="AF63" s="35">
        <f>AVERAGE(AF61:AF62)*'Fixed data'!$C$3</f>
        <v>-3.2897714844484886E-2</v>
      </c>
      <c r="AG63" s="35">
        <f>AVERAGE(AG61:AG62)*'Fixed data'!$C$3</f>
        <v>-3.1285364264848528E-2</v>
      </c>
      <c r="AH63" s="35">
        <f>AVERAGE(AH61:AH62)*'Fixed data'!$C$3</f>
        <v>-2.9673013685212166E-2</v>
      </c>
      <c r="AI63" s="35">
        <f>AVERAGE(AI61:AI62)*'Fixed data'!$C$3</f>
        <v>-2.8060663105575805E-2</v>
      </c>
      <c r="AJ63" s="35">
        <f>AVERAGE(AJ61:AJ62)*'Fixed data'!$C$3</f>
        <v>-2.6448312525939443E-2</v>
      </c>
      <c r="AK63" s="35">
        <f>AVERAGE(AK61:AK62)*'Fixed data'!$C$3</f>
        <v>-2.4835961946303081E-2</v>
      </c>
      <c r="AL63" s="35">
        <f>AVERAGE(AL61:AL62)*'Fixed data'!$C$3</f>
        <v>-2.3223611366666723E-2</v>
      </c>
      <c r="AM63" s="35">
        <f>AVERAGE(AM61:AM62)*'Fixed data'!$C$3</f>
        <v>-2.1611260787030361E-2</v>
      </c>
      <c r="AN63" s="35">
        <f>AVERAGE(AN61:AN62)*'Fixed data'!$C$3</f>
        <v>-1.9998910207393999E-2</v>
      </c>
      <c r="AO63" s="35">
        <f>AVERAGE(AO61:AO62)*'Fixed data'!$C$3</f>
        <v>-1.8386559627757634E-2</v>
      </c>
      <c r="AP63" s="35">
        <f>AVERAGE(AP61:AP62)*'Fixed data'!$C$3</f>
        <v>-1.6774209048121273E-2</v>
      </c>
      <c r="AQ63" s="35">
        <f>AVERAGE(AQ61:AQ62)*'Fixed data'!$C$3</f>
        <v>-1.5161858468484906E-2</v>
      </c>
      <c r="AR63" s="35">
        <f>AVERAGE(AR61:AR62)*'Fixed data'!$C$3</f>
        <v>-1.3549507888848544E-2</v>
      </c>
      <c r="AS63" s="35">
        <f>AVERAGE(AS61:AS62)*'Fixed data'!$C$3</f>
        <v>-1.1937157309212179E-2</v>
      </c>
      <c r="AT63" s="35">
        <f>AVERAGE(AT61:AT62)*'Fixed data'!$C$3</f>
        <v>-1.0324806729575817E-2</v>
      </c>
      <c r="AU63" s="35">
        <f>AVERAGE(AU61:AU62)*'Fixed data'!$C$3</f>
        <v>-8.7124561499394536E-3</v>
      </c>
      <c r="AV63" s="35">
        <f>AVERAGE(AV61:AV62)*'Fixed data'!$C$3</f>
        <v>-7.1001055703030893E-3</v>
      </c>
      <c r="AW63" s="35">
        <f>AVERAGE(AW61:AW62)*'Fixed data'!$C$3</f>
        <v>-5.4877549906667258E-3</v>
      </c>
      <c r="AX63" s="35">
        <f>AVERAGE(AX61:AX62)*'Fixed data'!$C$3</f>
        <v>-3.8754044110303619E-3</v>
      </c>
      <c r="AY63" s="35">
        <f>AVERAGE(AY61:AY62)*'Fixed data'!$C$3</f>
        <v>-2.4215188700606651E-3</v>
      </c>
      <c r="AZ63" s="35">
        <f>AVERAGE(AZ61:AZ62)*'Fixed data'!$C$3</f>
        <v>-1.2982538166465237E-3</v>
      </c>
      <c r="BA63" s="35">
        <f>AVERAGE(BA61:BA62)*'Fixed data'!$C$3</f>
        <v>-5.3065264367682695E-4</v>
      </c>
      <c r="BB63" s="35">
        <f>AVERAGE(BB61:BB62)*'Fixed data'!$C$3</f>
        <v>-1.1930313648490794E-4</v>
      </c>
      <c r="BC63" s="35">
        <f>AVERAGE(BC61:BC62)*'Fixed data'!$C$3</f>
        <v>-5.953570969552402E-17</v>
      </c>
      <c r="BD63" s="35">
        <f>AVERAGE(BD61:BD62)*'Fixed data'!$C$3</f>
        <v>-5.953570969552402E-17</v>
      </c>
    </row>
    <row r="64" spans="1:56" ht="15.75" thickBot="1" x14ac:dyDescent="0.35">
      <c r="A64" s="113"/>
      <c r="B64" s="12" t="s">
        <v>93</v>
      </c>
      <c r="C64" s="12" t="s">
        <v>44</v>
      </c>
      <c r="D64" s="12" t="s">
        <v>39</v>
      </c>
      <c r="E64" s="53">
        <f t="shared" ref="E64:BD64" si="8">E29+E60+E63</f>
        <v>-0.15993649974000002</v>
      </c>
      <c r="F64" s="53">
        <f t="shared" si="8"/>
        <v>-0.19578067557466672</v>
      </c>
      <c r="G64" s="53">
        <f t="shared" si="8"/>
        <v>-0.23085175611288891</v>
      </c>
      <c r="H64" s="53">
        <f t="shared" si="8"/>
        <v>-0.244833027244</v>
      </c>
      <c r="I64" s="53">
        <f t="shared" si="8"/>
        <v>-0.21387975174630294</v>
      </c>
      <c r="J64" s="53">
        <f t="shared" si="8"/>
        <v>-0.10867819208739392</v>
      </c>
      <c r="K64" s="53">
        <f t="shared" si="8"/>
        <v>-0.10706584150775757</v>
      </c>
      <c r="L64" s="53">
        <f t="shared" si="8"/>
        <v>-0.1054534909281212</v>
      </c>
      <c r="M64" s="53">
        <f t="shared" si="8"/>
        <v>-0.10384114034848485</v>
      </c>
      <c r="N64" s="53">
        <f t="shared" si="8"/>
        <v>-0.10222878976884847</v>
      </c>
      <c r="O64" s="53">
        <f t="shared" si="8"/>
        <v>-0.10061643918921212</v>
      </c>
      <c r="P64" s="53">
        <f t="shared" si="8"/>
        <v>-9.9004088609575755E-2</v>
      </c>
      <c r="Q64" s="53">
        <f t="shared" si="8"/>
        <v>-9.7391738029939404E-2</v>
      </c>
      <c r="R64" s="53">
        <f t="shared" si="8"/>
        <v>-9.5779387450303038E-2</v>
      </c>
      <c r="S64" s="53">
        <f t="shared" si="8"/>
        <v>-9.4167036870666687E-2</v>
      </c>
      <c r="T64" s="53">
        <f t="shared" si="8"/>
        <v>-9.2554686291030308E-2</v>
      </c>
      <c r="U64" s="53">
        <f t="shared" si="8"/>
        <v>-9.0942335711393957E-2</v>
      </c>
      <c r="V64" s="53">
        <f t="shared" si="8"/>
        <v>-8.9329985131757578E-2</v>
      </c>
      <c r="W64" s="53">
        <f t="shared" si="8"/>
        <v>-8.7717634552121226E-2</v>
      </c>
      <c r="X64" s="53">
        <f t="shared" si="8"/>
        <v>-8.6105283972484861E-2</v>
      </c>
      <c r="Y64" s="53">
        <f t="shared" si="8"/>
        <v>-8.449293339284851E-2</v>
      </c>
      <c r="Z64" s="53">
        <f t="shared" si="8"/>
        <v>-8.2880582813212145E-2</v>
      </c>
      <c r="AA64" s="53">
        <f t="shared" si="8"/>
        <v>-8.1268232233575793E-2</v>
      </c>
      <c r="AB64" s="53">
        <f t="shared" si="8"/>
        <v>-7.9655881653939414E-2</v>
      </c>
      <c r="AC64" s="53">
        <f t="shared" si="8"/>
        <v>-7.8043531074303063E-2</v>
      </c>
      <c r="AD64" s="53">
        <f t="shared" si="8"/>
        <v>-7.6431180494666698E-2</v>
      </c>
      <c r="AE64" s="53">
        <f t="shared" si="8"/>
        <v>-7.4818829915030333E-2</v>
      </c>
      <c r="AF64" s="53">
        <f t="shared" si="8"/>
        <v>-7.3206479335393981E-2</v>
      </c>
      <c r="AG64" s="53">
        <f t="shared" si="8"/>
        <v>-7.1594128755757616E-2</v>
      </c>
      <c r="AH64" s="53">
        <f t="shared" si="8"/>
        <v>-6.9981778176121251E-2</v>
      </c>
      <c r="AI64" s="53">
        <f t="shared" si="8"/>
        <v>-6.83694275964849E-2</v>
      </c>
      <c r="AJ64" s="53">
        <f t="shared" si="8"/>
        <v>-6.6757077016848534E-2</v>
      </c>
      <c r="AK64" s="53">
        <f t="shared" si="8"/>
        <v>-6.5144726437212169E-2</v>
      </c>
      <c r="AL64" s="53">
        <f t="shared" si="8"/>
        <v>-6.3532375857575818E-2</v>
      </c>
      <c r="AM64" s="53">
        <f t="shared" si="8"/>
        <v>-6.1920025277939453E-2</v>
      </c>
      <c r="AN64" s="53">
        <f t="shared" si="8"/>
        <v>-6.0307674698303088E-2</v>
      </c>
      <c r="AO64" s="53">
        <f t="shared" si="8"/>
        <v>-5.8695324118666722E-2</v>
      </c>
      <c r="AP64" s="53">
        <f t="shared" si="8"/>
        <v>-5.7082973539030357E-2</v>
      </c>
      <c r="AQ64" s="53">
        <f t="shared" si="8"/>
        <v>-5.5470622959393992E-2</v>
      </c>
      <c r="AR64" s="53">
        <f t="shared" si="8"/>
        <v>-5.3858272379757634E-2</v>
      </c>
      <c r="AS64" s="53">
        <f t="shared" si="8"/>
        <v>-5.2245921800121269E-2</v>
      </c>
      <c r="AT64" s="53">
        <f t="shared" si="8"/>
        <v>-5.0633571220484903E-2</v>
      </c>
      <c r="AU64" s="53">
        <f t="shared" si="8"/>
        <v>-4.9021220640848545E-2</v>
      </c>
      <c r="AV64" s="53">
        <f t="shared" si="8"/>
        <v>-4.740887006121218E-2</v>
      </c>
      <c r="AW64" s="53">
        <f t="shared" si="8"/>
        <v>-4.5796519481575815E-2</v>
      </c>
      <c r="AX64" s="53">
        <f t="shared" si="8"/>
        <v>-4.418416890193945E-2</v>
      </c>
      <c r="AY64" s="53">
        <f t="shared" si="8"/>
        <v>-3.4807031427636421E-2</v>
      </c>
      <c r="AZ64" s="53">
        <f t="shared" si="8"/>
        <v>-2.5075993929777836E-2</v>
      </c>
      <c r="BA64" s="53">
        <f t="shared" si="8"/>
        <v>-1.5132971179030359E-2</v>
      </c>
      <c r="BB64" s="53">
        <f t="shared" si="8"/>
        <v>-6.0844599607273279E-3</v>
      </c>
      <c r="BC64" s="53">
        <f t="shared" si="8"/>
        <v>-5.953570969552402E-17</v>
      </c>
      <c r="BD64" s="53">
        <f t="shared" si="8"/>
        <v>-5.953570969552402E-17</v>
      </c>
    </row>
    <row r="65" spans="1:56" ht="12.75" customHeight="1" x14ac:dyDescent="0.3">
      <c r="A65" s="223"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24"/>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24"/>
      <c r="B67" s="9" t="s">
        <v>296</v>
      </c>
      <c r="C67" s="11"/>
      <c r="D67" s="11" t="s">
        <v>39</v>
      </c>
      <c r="E67" s="82">
        <f>-'Baseline Workings'!C36</f>
        <v>-0.56432833333333299</v>
      </c>
      <c r="F67" s="82">
        <f>-'Baseline Workings'!D36</f>
        <v>-0.71527291666666692</v>
      </c>
      <c r="G67" s="82">
        <f>-'Baseline Workings'!E36</f>
        <v>-0.85874487999999993</v>
      </c>
      <c r="H67" s="82">
        <f>-'Baseline Workings'!F36</f>
        <v>-0.76299424000000093</v>
      </c>
      <c r="I67" s="82">
        <f>-'Baseline Workings'!G36</f>
        <v>-0.8091602436363643</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24"/>
      <c r="B68" s="9" t="s">
        <v>297</v>
      </c>
      <c r="C68" s="9"/>
      <c r="D68" s="9" t="s">
        <v>39</v>
      </c>
      <c r="E68" s="82">
        <f>-'Baseline Workings'!C37</f>
        <v>-1.7435398866661358</v>
      </c>
      <c r="F68" s="82">
        <f>-'Baseline Workings'!D37</f>
        <v>-2.2191826266659613</v>
      </c>
      <c r="G68" s="82">
        <f>-'Baseline Workings'!E37</f>
        <v>-2.6704951333349958</v>
      </c>
      <c r="H68" s="82">
        <f>-'Baseline Workings'!F37</f>
        <v>-2.4432748266658066</v>
      </c>
      <c r="I68" s="82">
        <f>-'Baseline Workings'!G37</f>
        <v>-3.0577331186868708</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24"/>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24"/>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24"/>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24"/>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2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2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24"/>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25"/>
      <c r="B76" s="13" t="s">
        <v>99</v>
      </c>
      <c r="C76" s="13"/>
      <c r="D76" s="13" t="s">
        <v>39</v>
      </c>
      <c r="E76" s="53">
        <f>SUM(E65:E75)</f>
        <v>-2.3078682199994689</v>
      </c>
      <c r="F76" s="53">
        <f t="shared" ref="F76:BD76" si="9">SUM(F65:F75)</f>
        <v>-2.9344555433326285</v>
      </c>
      <c r="G76" s="53">
        <f t="shared" si="9"/>
        <v>-3.5292400133349959</v>
      </c>
      <c r="H76" s="53">
        <f t="shared" si="9"/>
        <v>-3.2062690666658078</v>
      </c>
      <c r="I76" s="53">
        <f t="shared" si="9"/>
        <v>-3.8668933623232351</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-2.467804719739469</v>
      </c>
      <c r="F77" s="54">
        <f>IF('Fixed data'!$G$19=FALSE,F64+F76,F64)</f>
        <v>-3.130236218907295</v>
      </c>
      <c r="G77" s="54">
        <f>IF('Fixed data'!$G$19=FALSE,G64+G76,G64)</f>
        <v>-3.760091769447885</v>
      </c>
      <c r="H77" s="54">
        <f>IF('Fixed data'!$G$19=FALSE,H64+H76,H64)</f>
        <v>-3.4511020939098076</v>
      </c>
      <c r="I77" s="54">
        <f>IF('Fixed data'!$G$19=FALSE,I64+I76,I64)</f>
        <v>-4.0807731140695385</v>
      </c>
      <c r="J77" s="54">
        <f>IF('Fixed data'!$G$19=FALSE,J64+J76,J64)</f>
        <v>-0.10867819208739392</v>
      </c>
      <c r="K77" s="54">
        <f>IF('Fixed data'!$G$19=FALSE,K64+K76,K64)</f>
        <v>-0.10706584150775757</v>
      </c>
      <c r="L77" s="54">
        <f>IF('Fixed data'!$G$19=FALSE,L64+L76,L64)</f>
        <v>-0.1054534909281212</v>
      </c>
      <c r="M77" s="54">
        <f>IF('Fixed data'!$G$19=FALSE,M64+M76,M64)</f>
        <v>-0.10384114034848485</v>
      </c>
      <c r="N77" s="54">
        <f>IF('Fixed data'!$G$19=FALSE,N64+N76,N64)</f>
        <v>-0.10222878976884847</v>
      </c>
      <c r="O77" s="54">
        <f>IF('Fixed data'!$G$19=FALSE,O64+O76,O64)</f>
        <v>-0.10061643918921212</v>
      </c>
      <c r="P77" s="54">
        <f>IF('Fixed data'!$G$19=FALSE,P64+P76,P64)</f>
        <v>-9.9004088609575755E-2</v>
      </c>
      <c r="Q77" s="54">
        <f>IF('Fixed data'!$G$19=FALSE,Q64+Q76,Q64)</f>
        <v>-9.7391738029939404E-2</v>
      </c>
      <c r="R77" s="54">
        <f>IF('Fixed data'!$G$19=FALSE,R64+R76,R64)</f>
        <v>-9.5779387450303038E-2</v>
      </c>
      <c r="S77" s="54">
        <f>IF('Fixed data'!$G$19=FALSE,S64+S76,S64)</f>
        <v>-9.4167036870666687E-2</v>
      </c>
      <c r="T77" s="54">
        <f>IF('Fixed data'!$G$19=FALSE,T64+T76,T64)</f>
        <v>-9.2554686291030308E-2</v>
      </c>
      <c r="U77" s="54">
        <f>IF('Fixed data'!$G$19=FALSE,U64+U76,U64)</f>
        <v>-9.0942335711393957E-2</v>
      </c>
      <c r="V77" s="54">
        <f>IF('Fixed data'!$G$19=FALSE,V64+V76,V64)</f>
        <v>-8.9329985131757578E-2</v>
      </c>
      <c r="W77" s="54">
        <f>IF('Fixed data'!$G$19=FALSE,W64+W76,W64)</f>
        <v>-8.7717634552121226E-2</v>
      </c>
      <c r="X77" s="54">
        <f>IF('Fixed data'!$G$19=FALSE,X64+X76,X64)</f>
        <v>-8.6105283972484861E-2</v>
      </c>
      <c r="Y77" s="54">
        <f>IF('Fixed data'!$G$19=FALSE,Y64+Y76,Y64)</f>
        <v>-8.449293339284851E-2</v>
      </c>
      <c r="Z77" s="54">
        <f>IF('Fixed data'!$G$19=FALSE,Z64+Z76,Z64)</f>
        <v>-8.2880582813212145E-2</v>
      </c>
      <c r="AA77" s="54">
        <f>IF('Fixed data'!$G$19=FALSE,AA64+AA76,AA64)</f>
        <v>-8.1268232233575793E-2</v>
      </c>
      <c r="AB77" s="54">
        <f>IF('Fixed data'!$G$19=FALSE,AB64+AB76,AB64)</f>
        <v>-7.9655881653939414E-2</v>
      </c>
      <c r="AC77" s="54">
        <f>IF('Fixed data'!$G$19=FALSE,AC64+AC76,AC64)</f>
        <v>-7.8043531074303063E-2</v>
      </c>
      <c r="AD77" s="54">
        <f>IF('Fixed data'!$G$19=FALSE,AD64+AD76,AD64)</f>
        <v>-7.6431180494666698E-2</v>
      </c>
      <c r="AE77" s="54">
        <f>IF('Fixed data'!$G$19=FALSE,AE64+AE76,AE64)</f>
        <v>-7.4818829915030333E-2</v>
      </c>
      <c r="AF77" s="54">
        <f>IF('Fixed data'!$G$19=FALSE,AF64+AF76,AF64)</f>
        <v>-7.3206479335393981E-2</v>
      </c>
      <c r="AG77" s="54">
        <f>IF('Fixed data'!$G$19=FALSE,AG64+AG76,AG64)</f>
        <v>-7.1594128755757616E-2</v>
      </c>
      <c r="AH77" s="54">
        <f>IF('Fixed data'!$G$19=FALSE,AH64+AH76,AH64)</f>
        <v>-6.9981778176121251E-2</v>
      </c>
      <c r="AI77" s="54">
        <f>IF('Fixed data'!$G$19=FALSE,AI64+AI76,AI64)</f>
        <v>-6.83694275964849E-2</v>
      </c>
      <c r="AJ77" s="54">
        <f>IF('Fixed data'!$G$19=FALSE,AJ64+AJ76,AJ64)</f>
        <v>-6.6757077016848534E-2</v>
      </c>
      <c r="AK77" s="54">
        <f>IF('Fixed data'!$G$19=FALSE,AK64+AK76,AK64)</f>
        <v>-6.5144726437212169E-2</v>
      </c>
      <c r="AL77" s="54">
        <f>IF('Fixed data'!$G$19=FALSE,AL64+AL76,AL64)</f>
        <v>-6.3532375857575818E-2</v>
      </c>
      <c r="AM77" s="54">
        <f>IF('Fixed data'!$G$19=FALSE,AM64+AM76,AM64)</f>
        <v>-6.1920025277939453E-2</v>
      </c>
      <c r="AN77" s="54">
        <f>IF('Fixed data'!$G$19=FALSE,AN64+AN76,AN64)</f>
        <v>-6.0307674698303088E-2</v>
      </c>
      <c r="AO77" s="54">
        <f>IF('Fixed data'!$G$19=FALSE,AO64+AO76,AO64)</f>
        <v>-5.8695324118666722E-2</v>
      </c>
      <c r="AP77" s="54">
        <f>IF('Fixed data'!$G$19=FALSE,AP64+AP76,AP64)</f>
        <v>-5.7082973539030357E-2</v>
      </c>
      <c r="AQ77" s="54">
        <f>IF('Fixed data'!$G$19=FALSE,AQ64+AQ76,AQ64)</f>
        <v>-5.5470622959393992E-2</v>
      </c>
      <c r="AR77" s="54">
        <f>IF('Fixed data'!$G$19=FALSE,AR64+AR76,AR64)</f>
        <v>-5.3858272379757634E-2</v>
      </c>
      <c r="AS77" s="54">
        <f>IF('Fixed data'!$G$19=FALSE,AS64+AS76,AS64)</f>
        <v>-5.2245921800121269E-2</v>
      </c>
      <c r="AT77" s="54">
        <f>IF('Fixed data'!$G$19=FALSE,AT64+AT76,AT64)</f>
        <v>-5.0633571220484903E-2</v>
      </c>
      <c r="AU77" s="54">
        <f>IF('Fixed data'!$G$19=FALSE,AU64+AU76,AU64)</f>
        <v>-4.9021220640848545E-2</v>
      </c>
      <c r="AV77" s="54">
        <f>IF('Fixed data'!$G$19=FALSE,AV64+AV76,AV64)</f>
        <v>-4.740887006121218E-2</v>
      </c>
      <c r="AW77" s="54">
        <f>IF('Fixed data'!$G$19=FALSE,AW64+AW76,AW64)</f>
        <v>-4.5796519481575815E-2</v>
      </c>
      <c r="AX77" s="54">
        <f>IF('Fixed data'!$G$19=FALSE,AX64+AX76,AX64)</f>
        <v>-4.418416890193945E-2</v>
      </c>
      <c r="AY77" s="54">
        <f>IF('Fixed data'!$G$19=FALSE,AY64+AY76,AY64)</f>
        <v>-3.4807031427636421E-2</v>
      </c>
      <c r="AZ77" s="54">
        <f>IF('Fixed data'!$G$19=FALSE,AZ64+AZ76,AZ64)</f>
        <v>-2.5075993929777836E-2</v>
      </c>
      <c r="BA77" s="54">
        <f>IF('Fixed data'!$G$19=FALSE,BA64+BA76,BA64)</f>
        <v>-1.5132971179030359E-2</v>
      </c>
      <c r="BB77" s="54">
        <f>IF('Fixed data'!$G$19=FALSE,BB64+BB76,BB64)</f>
        <v>-6.0844599607273279E-3</v>
      </c>
      <c r="BC77" s="54">
        <f>IF('Fixed data'!$G$19=FALSE,BC64+BC76,BC64)</f>
        <v>-5.953570969552402E-17</v>
      </c>
      <c r="BD77" s="54">
        <f>IF('Fixed data'!$G$19=FALSE,BD64+BD76,BD64)</f>
        <v>-5.953570969552402E-17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-2.3843523862217095</v>
      </c>
      <c r="F80" s="55">
        <f t="shared" ref="F80:BD80" si="10">F77*F78</f>
        <v>-2.9221090050244301</v>
      </c>
      <c r="G80" s="55">
        <f t="shared" si="10"/>
        <v>-3.3913873440958873</v>
      </c>
      <c r="H80" s="55">
        <f t="shared" si="10"/>
        <v>-3.0074360967319707</v>
      </c>
      <c r="I80" s="55">
        <f t="shared" si="10"/>
        <v>-3.4359014620842507</v>
      </c>
      <c r="J80" s="55">
        <f t="shared" si="10"/>
        <v>-8.8409779285296683E-2</v>
      </c>
      <c r="K80" s="55">
        <f t="shared" si="10"/>
        <v>-8.4152783623103883E-2</v>
      </c>
      <c r="L80" s="55">
        <f t="shared" si="10"/>
        <v>-8.0082599654160785E-2</v>
      </c>
      <c r="M80" s="55">
        <f t="shared" si="10"/>
        <v>-7.6191460861171956E-2</v>
      </c>
      <c r="N80" s="55">
        <f t="shared" si="10"/>
        <v>-7.2471912369917749E-2</v>
      </c>
      <c r="O80" s="55">
        <f t="shared" si="10"/>
        <v>-6.8916798753350425E-2</v>
      </c>
      <c r="P80" s="55">
        <f t="shared" si="10"/>
        <v>-6.551925230415423E-2</v>
      </c>
      <c r="Q80" s="55">
        <f t="shared" si="10"/>
        <v>-6.2272681758032959E-2</v>
      </c>
      <c r="R80" s="55">
        <f t="shared" si="10"/>
        <v>-5.9170761450651317E-2</v>
      </c>
      <c r="S80" s="55">
        <f t="shared" si="10"/>
        <v>-5.6207420891797061E-2</v>
      </c>
      <c r="T80" s="55">
        <f t="shared" si="10"/>
        <v>-5.3376834740944776E-2</v>
      </c>
      <c r="U80" s="55">
        <f t="shared" si="10"/>
        <v>-5.0673413168996845E-2</v>
      </c>
      <c r="V80" s="55">
        <f t="shared" si="10"/>
        <v>-4.8091792591545821E-2</v>
      </c>
      <c r="W80" s="55">
        <f t="shared" si="10"/>
        <v>-4.5626826759553804E-2</v>
      </c>
      <c r="X80" s="55">
        <f t="shared" si="10"/>
        <v>-4.3273578193872009E-2</v>
      </c>
      <c r="Y80" s="55">
        <f t="shared" si="10"/>
        <v>-4.1027309950534455E-2</v>
      </c>
      <c r="Z80" s="55">
        <f t="shared" si="10"/>
        <v>-3.8883477704249145E-2</v>
      </c>
      <c r="AA80" s="55">
        <f t="shared" si="10"/>
        <v>-3.683772213798342E-2</v>
      </c>
      <c r="AB80" s="55">
        <f t="shared" si="10"/>
        <v>-3.4885861626993885E-2</v>
      </c>
      <c r="AC80" s="55">
        <f t="shared" si="10"/>
        <v>-3.3023885206090162E-2</v>
      </c>
      <c r="AD80" s="55">
        <f t="shared" si="10"/>
        <v>-3.1247945809342328E-2</v>
      </c>
      <c r="AE80" s="55">
        <f t="shared" si="10"/>
        <v>-2.9554353771848545E-2</v>
      </c>
      <c r="AF80" s="55">
        <f t="shared" si="10"/>
        <v>-2.7939570583569436E-2</v>
      </c>
      <c r="AG80" s="55">
        <f t="shared" si="10"/>
        <v>-2.6400202885612446E-2</v>
      </c>
      <c r="AH80" s="55">
        <f t="shared" si="10"/>
        <v>-2.4932996699711371E-2</v>
      </c>
      <c r="AI80" s="55">
        <f t="shared" si="10"/>
        <v>-2.7346892160614783E-2</v>
      </c>
      <c r="AJ80" s="55">
        <f t="shared" si="10"/>
        <v>-2.5924245296375957E-2</v>
      </c>
      <c r="AK80" s="55">
        <f t="shared" si="10"/>
        <v>-2.4561271703195098E-2</v>
      </c>
      <c r="AL80" s="55">
        <f t="shared" si="10"/>
        <v>-2.3255702151198002E-2</v>
      </c>
      <c r="AM80" s="55">
        <f t="shared" si="10"/>
        <v>-2.2005348975655356E-2</v>
      </c>
      <c r="AN80" s="55">
        <f t="shared" si="10"/>
        <v>-2.0808103250685304E-2</v>
      </c>
      <c r="AO80" s="55">
        <f t="shared" si="10"/>
        <v>-1.9661932058399823E-2</v>
      </c>
      <c r="AP80" s="55">
        <f t="shared" si="10"/>
        <v>-1.8564875850333049E-2</v>
      </c>
      <c r="AQ80" s="55">
        <f t="shared" si="10"/>
        <v>-1.751504589809242E-2</v>
      </c>
      <c r="AR80" s="55">
        <f t="shared" si="10"/>
        <v>-1.6510621830273679E-2</v>
      </c>
      <c r="AS80" s="55">
        <f t="shared" si="10"/>
        <v>-1.5549849252777222E-2</v>
      </c>
      <c r="AT80" s="55">
        <f t="shared" si="10"/>
        <v>-1.4631037449757184E-2</v>
      </c>
      <c r="AU80" s="55">
        <f t="shared" si="10"/>
        <v>-1.375255716252482E-2</v>
      </c>
      <c r="AV80" s="55">
        <f t="shared" si="10"/>
        <v>-1.2912838443815577E-2</v>
      </c>
      <c r="AW80" s="55">
        <f t="shared" si="10"/>
        <v>-1.2110368584914002E-2</v>
      </c>
      <c r="AX80" s="55">
        <f t="shared" si="10"/>
        <v>-1.134369011321262E-2</v>
      </c>
      <c r="AY80" s="55">
        <f t="shared" si="10"/>
        <v>-8.6759576661828448E-3</v>
      </c>
      <c r="AZ80" s="55">
        <f t="shared" si="10"/>
        <v>-6.0683604636093836E-3</v>
      </c>
      <c r="BA80" s="55">
        <f t="shared" si="10"/>
        <v>-3.5554960001168592E-3</v>
      </c>
      <c r="BB80" s="55">
        <f t="shared" si="10"/>
        <v>-1.3879083937391918E-3</v>
      </c>
      <c r="BC80" s="55">
        <f t="shared" si="10"/>
        <v>-1.3184967846462648E-17</v>
      </c>
      <c r="BD80" s="55">
        <f t="shared" si="10"/>
        <v>-1.2800939656759852E-17</v>
      </c>
    </row>
    <row r="81" spans="1:56" x14ac:dyDescent="0.3">
      <c r="A81" s="75"/>
      <c r="B81" s="15" t="s">
        <v>18</v>
      </c>
      <c r="C81" s="15"/>
      <c r="D81" s="14" t="s">
        <v>39</v>
      </c>
      <c r="E81" s="56">
        <f>+E80</f>
        <v>-2.3843523862217095</v>
      </c>
      <c r="F81" s="56">
        <f t="shared" ref="F81:BD81" si="11">+E81+F80</f>
        <v>-5.30646139124614</v>
      </c>
      <c r="G81" s="56">
        <f t="shared" si="11"/>
        <v>-8.6978487353420277</v>
      </c>
      <c r="H81" s="56">
        <f t="shared" si="11"/>
        <v>-11.705284832073998</v>
      </c>
      <c r="I81" s="56">
        <f t="shared" si="11"/>
        <v>-15.141186294158249</v>
      </c>
      <c r="J81" s="56">
        <f t="shared" si="11"/>
        <v>-15.229596073443545</v>
      </c>
      <c r="K81" s="56">
        <f t="shared" si="11"/>
        <v>-15.313748857066649</v>
      </c>
      <c r="L81" s="56">
        <f t="shared" si="11"/>
        <v>-15.393831456720809</v>
      </c>
      <c r="M81" s="56">
        <f t="shared" si="11"/>
        <v>-15.47002291758198</v>
      </c>
      <c r="N81" s="56">
        <f t="shared" si="11"/>
        <v>-15.542494829951899</v>
      </c>
      <c r="O81" s="56">
        <f t="shared" si="11"/>
        <v>-15.61141162870525</v>
      </c>
      <c r="P81" s="56">
        <f t="shared" si="11"/>
        <v>-15.676930881009405</v>
      </c>
      <c r="Q81" s="56">
        <f t="shared" si="11"/>
        <v>-15.739203562767438</v>
      </c>
      <c r="R81" s="56">
        <f t="shared" si="11"/>
        <v>-15.79837432421809</v>
      </c>
      <c r="S81" s="56">
        <f t="shared" si="11"/>
        <v>-15.854581745109886</v>
      </c>
      <c r="T81" s="56">
        <f t="shared" si="11"/>
        <v>-15.907958579850831</v>
      </c>
      <c r="U81" s="56">
        <f t="shared" si="11"/>
        <v>-15.958631993019829</v>
      </c>
      <c r="V81" s="56">
        <f t="shared" si="11"/>
        <v>-16.006723785611374</v>
      </c>
      <c r="W81" s="56">
        <f t="shared" si="11"/>
        <v>-16.05235061237093</v>
      </c>
      <c r="X81" s="56">
        <f t="shared" si="11"/>
        <v>-16.095624190564802</v>
      </c>
      <c r="Y81" s="56">
        <f t="shared" si="11"/>
        <v>-16.136651500515338</v>
      </c>
      <c r="Z81" s="56">
        <f t="shared" si="11"/>
        <v>-16.175534978219588</v>
      </c>
      <c r="AA81" s="56">
        <f t="shared" si="11"/>
        <v>-16.212372700357569</v>
      </c>
      <c r="AB81" s="56">
        <f t="shared" si="11"/>
        <v>-16.247258561984562</v>
      </c>
      <c r="AC81" s="56">
        <f t="shared" si="11"/>
        <v>-16.280282447190654</v>
      </c>
      <c r="AD81" s="56">
        <f t="shared" si="11"/>
        <v>-16.311530392999995</v>
      </c>
      <c r="AE81" s="56">
        <f t="shared" si="11"/>
        <v>-16.341084746771845</v>
      </c>
      <c r="AF81" s="56">
        <f t="shared" si="11"/>
        <v>-16.369024317355414</v>
      </c>
      <c r="AG81" s="56">
        <f t="shared" si="11"/>
        <v>-16.395424520241026</v>
      </c>
      <c r="AH81" s="56">
        <f t="shared" si="11"/>
        <v>-16.420357516940737</v>
      </c>
      <c r="AI81" s="56">
        <f t="shared" si="11"/>
        <v>-16.447704409101352</v>
      </c>
      <c r="AJ81" s="56">
        <f t="shared" si="11"/>
        <v>-16.473628654397729</v>
      </c>
      <c r="AK81" s="56">
        <f t="shared" si="11"/>
        <v>-16.498189926100924</v>
      </c>
      <c r="AL81" s="56">
        <f t="shared" si="11"/>
        <v>-16.52144562825212</v>
      </c>
      <c r="AM81" s="56">
        <f t="shared" si="11"/>
        <v>-16.543450977227774</v>
      </c>
      <c r="AN81" s="56">
        <f t="shared" si="11"/>
        <v>-16.564259080478461</v>
      </c>
      <c r="AO81" s="56">
        <f t="shared" si="11"/>
        <v>-16.583921012536862</v>
      </c>
      <c r="AP81" s="56">
        <f t="shared" si="11"/>
        <v>-16.602485888387196</v>
      </c>
      <c r="AQ81" s="56">
        <f t="shared" si="11"/>
        <v>-16.62000093428529</v>
      </c>
      <c r="AR81" s="56">
        <f t="shared" si="11"/>
        <v>-16.636511556115565</v>
      </c>
      <c r="AS81" s="56">
        <f t="shared" si="11"/>
        <v>-16.652061405368343</v>
      </c>
      <c r="AT81" s="56">
        <f t="shared" si="11"/>
        <v>-16.6666924428181</v>
      </c>
      <c r="AU81" s="56">
        <f t="shared" si="11"/>
        <v>-16.680444999980626</v>
      </c>
      <c r="AV81" s="56">
        <f t="shared" si="11"/>
        <v>-16.69335783842444</v>
      </c>
      <c r="AW81" s="56">
        <f t="shared" si="11"/>
        <v>-16.705468207009353</v>
      </c>
      <c r="AX81" s="56">
        <f t="shared" si="11"/>
        <v>-16.716811897122565</v>
      </c>
      <c r="AY81" s="56">
        <f t="shared" si="11"/>
        <v>-16.725487854788746</v>
      </c>
      <c r="AZ81" s="56">
        <f t="shared" si="11"/>
        <v>-16.731556215252354</v>
      </c>
      <c r="BA81" s="56">
        <f t="shared" si="11"/>
        <v>-16.735111711252472</v>
      </c>
      <c r="BB81" s="56">
        <f t="shared" si="11"/>
        <v>-16.73649961964621</v>
      </c>
      <c r="BC81" s="56">
        <f t="shared" si="11"/>
        <v>-16.73649961964621</v>
      </c>
      <c r="BD81" s="56">
        <f t="shared" si="11"/>
        <v>-16.73649961964621</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26"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26"/>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26"/>
      <c r="B88" s="4" t="s">
        <v>212</v>
      </c>
      <c r="D88" s="4" t="s">
        <v>207</v>
      </c>
      <c r="E88" s="44">
        <f>-'Baseline Workings'!C34</f>
        <v>-49675.33333333335</v>
      </c>
      <c r="F88" s="44">
        <f>-'Baseline Workings'!D34</f>
        <v>-63011.666666666664</v>
      </c>
      <c r="G88" s="44">
        <f>-'Baseline Workings'!E34</f>
        <v>-73775.333333333343</v>
      </c>
      <c r="H88" s="44">
        <f>-'Baseline Workings'!F34</f>
        <v>-65549.333333333299</v>
      </c>
      <c r="I88" s="44">
        <f>-'Baseline Workings'!G34</f>
        <v>-69515.484848484906</v>
      </c>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26"/>
      <c r="B89" s="4" t="s">
        <v>213</v>
      </c>
      <c r="D89" s="4" t="s">
        <v>87</v>
      </c>
      <c r="E89" s="44">
        <f>-'Baseline Workings'!C35</f>
        <v>-6294550.6666646693</v>
      </c>
      <c r="F89" s="44">
        <f>-'Baseline Workings'!D35</f>
        <v>-8022113.3333307914</v>
      </c>
      <c r="G89" s="44">
        <f>-'Baseline Workings'!E35</f>
        <v>-9460578.3333392739</v>
      </c>
      <c r="H89" s="44">
        <f>-'Baseline Workings'!F35</f>
        <v>-8662145.3333302755</v>
      </c>
      <c r="I89" s="44">
        <f>-'Baseline Workings'!G35</f>
        <v>-10791999.24242425</v>
      </c>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26"/>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26"/>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26"/>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26"/>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disablePrompts="1"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I13" sqref="I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341</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-6.6830468744384248</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-8.0223110721294155</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-8.9160972944811956</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-9.8320103513398411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18" t="s">
        <v>11</v>
      </c>
      <c r="B13" s="61" t="s">
        <v>198</v>
      </c>
      <c r="C13" s="60"/>
      <c r="D13" s="61" t="s">
        <v>39</v>
      </c>
      <c r="E13" s="62">
        <f>-'Option 2 Workings'!$D$10</f>
        <v>-1.9919960000000001</v>
      </c>
      <c r="F13" s="62">
        <f>-'Option 2 Workings'!E10</f>
        <v>-2.0377960000000002</v>
      </c>
      <c r="G13" s="62">
        <f>-'Option 2 Workings'!F10</f>
        <v>-2.1187960000000001</v>
      </c>
      <c r="H13" s="62">
        <f>-'Option 2 Workings'!G10</f>
        <v>-2.1712889999999998</v>
      </c>
      <c r="I13" s="62">
        <f>-'Option 2 Workings'!H10</f>
        <v>-1.8909990000000001</v>
      </c>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19"/>
      <c r="B14" s="61" t="s">
        <v>196</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219"/>
      <c r="B15" s="61" t="s">
        <v>196</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219"/>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19"/>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20"/>
      <c r="B18" s="123" t="s">
        <v>195</v>
      </c>
      <c r="C18" s="128"/>
      <c r="D18" s="124" t="s">
        <v>39</v>
      </c>
      <c r="E18" s="59">
        <f>SUM(E13:E17)</f>
        <v>-1.9919960000000001</v>
      </c>
      <c r="F18" s="59">
        <f t="shared" ref="F18:AW18" si="0">SUM(F13:F17)</f>
        <v>-2.0377960000000002</v>
      </c>
      <c r="G18" s="59">
        <f t="shared" si="0"/>
        <v>-2.1187960000000001</v>
      </c>
      <c r="H18" s="59">
        <f t="shared" si="0"/>
        <v>-2.1712889999999998</v>
      </c>
      <c r="I18" s="59">
        <f t="shared" si="0"/>
        <v>-1.8909990000000001</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21" t="s">
        <v>299</v>
      </c>
      <c r="B19" s="61" t="s">
        <v>198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21"/>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21"/>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21"/>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21"/>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21"/>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22"/>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-1.9919960000000001</v>
      </c>
      <c r="F26" s="59">
        <f t="shared" ref="F26:BD26" si="2">F18+F25</f>
        <v>-2.0377960000000002</v>
      </c>
      <c r="G26" s="59">
        <f t="shared" si="2"/>
        <v>-2.1187960000000001</v>
      </c>
      <c r="H26" s="59">
        <f t="shared" si="2"/>
        <v>-2.1712889999999998</v>
      </c>
      <c r="I26" s="59">
        <f t="shared" si="2"/>
        <v>-1.8909990000000001</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-1.3943972</v>
      </c>
      <c r="F28" s="35">
        <f t="shared" ref="F28:AW28" si="3">F26*F27</f>
        <v>-1.4264572</v>
      </c>
      <c r="G28" s="35">
        <f t="shared" si="3"/>
        <v>-1.4831572</v>
      </c>
      <c r="H28" s="35">
        <f t="shared" si="3"/>
        <v>-1.5199022999999998</v>
      </c>
      <c r="I28" s="35">
        <f t="shared" si="3"/>
        <v>-1.3236992999999999</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-0.5975988000000001</v>
      </c>
      <c r="F29" s="35">
        <f t="shared" ref="F29:AW29" si="4">F26-F28</f>
        <v>-0.61133880000000018</v>
      </c>
      <c r="G29" s="35">
        <f t="shared" si="4"/>
        <v>-0.63563880000000017</v>
      </c>
      <c r="H29" s="35">
        <f t="shared" si="4"/>
        <v>-0.65138669999999999</v>
      </c>
      <c r="I29" s="35">
        <f t="shared" si="4"/>
        <v>-0.56729970000000018</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-3.0986604444444444E-2</v>
      </c>
      <c r="G30" s="35">
        <f>$E$28/'Fixed data'!$C$7</f>
        <v>-3.0986604444444444E-2</v>
      </c>
      <c r="H30" s="35">
        <f>$E$28/'Fixed data'!$C$7</f>
        <v>-3.0986604444444444E-2</v>
      </c>
      <c r="I30" s="35">
        <f>$E$28/'Fixed data'!$C$7</f>
        <v>-3.0986604444444444E-2</v>
      </c>
      <c r="J30" s="35">
        <f>$E$28/'Fixed data'!$C$7</f>
        <v>-3.0986604444444444E-2</v>
      </c>
      <c r="K30" s="35">
        <f>$E$28/'Fixed data'!$C$7</f>
        <v>-3.0986604444444444E-2</v>
      </c>
      <c r="L30" s="35">
        <f>$E$28/'Fixed data'!$C$7</f>
        <v>-3.0986604444444444E-2</v>
      </c>
      <c r="M30" s="35">
        <f>$E$28/'Fixed data'!$C$7</f>
        <v>-3.0986604444444444E-2</v>
      </c>
      <c r="N30" s="35">
        <f>$E$28/'Fixed data'!$C$7</f>
        <v>-3.0986604444444444E-2</v>
      </c>
      <c r="O30" s="35">
        <f>$E$28/'Fixed data'!$C$7</f>
        <v>-3.0986604444444444E-2</v>
      </c>
      <c r="P30" s="35">
        <f>$E$28/'Fixed data'!$C$7</f>
        <v>-3.0986604444444444E-2</v>
      </c>
      <c r="Q30" s="35">
        <f>$E$28/'Fixed data'!$C$7</f>
        <v>-3.0986604444444444E-2</v>
      </c>
      <c r="R30" s="35">
        <f>$E$28/'Fixed data'!$C$7</f>
        <v>-3.0986604444444444E-2</v>
      </c>
      <c r="S30" s="35">
        <f>$E$28/'Fixed data'!$C$7</f>
        <v>-3.0986604444444444E-2</v>
      </c>
      <c r="T30" s="35">
        <f>$E$28/'Fixed data'!$C$7</f>
        <v>-3.0986604444444444E-2</v>
      </c>
      <c r="U30" s="35">
        <f>$E$28/'Fixed data'!$C$7</f>
        <v>-3.0986604444444444E-2</v>
      </c>
      <c r="V30" s="35">
        <f>$E$28/'Fixed data'!$C$7</f>
        <v>-3.0986604444444444E-2</v>
      </c>
      <c r="W30" s="35">
        <f>$E$28/'Fixed data'!$C$7</f>
        <v>-3.0986604444444444E-2</v>
      </c>
      <c r="X30" s="35">
        <f>$E$28/'Fixed data'!$C$7</f>
        <v>-3.0986604444444444E-2</v>
      </c>
      <c r="Y30" s="35">
        <f>$E$28/'Fixed data'!$C$7</f>
        <v>-3.0986604444444444E-2</v>
      </c>
      <c r="Z30" s="35">
        <f>$E$28/'Fixed data'!$C$7</f>
        <v>-3.0986604444444444E-2</v>
      </c>
      <c r="AA30" s="35">
        <f>$E$28/'Fixed data'!$C$7</f>
        <v>-3.0986604444444444E-2</v>
      </c>
      <c r="AB30" s="35">
        <f>$E$28/'Fixed data'!$C$7</f>
        <v>-3.0986604444444444E-2</v>
      </c>
      <c r="AC30" s="35">
        <f>$E$28/'Fixed data'!$C$7</f>
        <v>-3.0986604444444444E-2</v>
      </c>
      <c r="AD30" s="35">
        <f>$E$28/'Fixed data'!$C$7</f>
        <v>-3.0986604444444444E-2</v>
      </c>
      <c r="AE30" s="35">
        <f>$E$28/'Fixed data'!$C$7</f>
        <v>-3.0986604444444444E-2</v>
      </c>
      <c r="AF30" s="35">
        <f>$E$28/'Fixed data'!$C$7</f>
        <v>-3.0986604444444444E-2</v>
      </c>
      <c r="AG30" s="35">
        <f>$E$28/'Fixed data'!$C$7</f>
        <v>-3.0986604444444444E-2</v>
      </c>
      <c r="AH30" s="35">
        <f>$E$28/'Fixed data'!$C$7</f>
        <v>-3.0986604444444444E-2</v>
      </c>
      <c r="AI30" s="35">
        <f>$E$28/'Fixed data'!$C$7</f>
        <v>-3.0986604444444444E-2</v>
      </c>
      <c r="AJ30" s="35">
        <f>$E$28/'Fixed data'!$C$7</f>
        <v>-3.0986604444444444E-2</v>
      </c>
      <c r="AK30" s="35">
        <f>$E$28/'Fixed data'!$C$7</f>
        <v>-3.0986604444444444E-2</v>
      </c>
      <c r="AL30" s="35">
        <f>$E$28/'Fixed data'!$C$7</f>
        <v>-3.0986604444444444E-2</v>
      </c>
      <c r="AM30" s="35">
        <f>$E$28/'Fixed data'!$C$7</f>
        <v>-3.0986604444444444E-2</v>
      </c>
      <c r="AN30" s="35">
        <f>$E$28/'Fixed data'!$C$7</f>
        <v>-3.0986604444444444E-2</v>
      </c>
      <c r="AO30" s="35">
        <f>$E$28/'Fixed data'!$C$7</f>
        <v>-3.0986604444444444E-2</v>
      </c>
      <c r="AP30" s="35">
        <f>$E$28/'Fixed data'!$C$7</f>
        <v>-3.0986604444444444E-2</v>
      </c>
      <c r="AQ30" s="35">
        <f>$E$28/'Fixed data'!$C$7</f>
        <v>-3.0986604444444444E-2</v>
      </c>
      <c r="AR30" s="35">
        <f>$E$28/'Fixed data'!$C$7</f>
        <v>-3.0986604444444444E-2</v>
      </c>
      <c r="AS30" s="35">
        <f>$E$28/'Fixed data'!$C$7</f>
        <v>-3.0986604444444444E-2</v>
      </c>
      <c r="AT30" s="35">
        <f>$E$28/'Fixed data'!$C$7</f>
        <v>-3.0986604444444444E-2</v>
      </c>
      <c r="AU30" s="35">
        <f>$E$28/'Fixed data'!$C$7</f>
        <v>-3.0986604444444444E-2</v>
      </c>
      <c r="AV30" s="35">
        <f>$E$28/'Fixed data'!$C$7</f>
        <v>-3.0986604444444444E-2</v>
      </c>
      <c r="AW30" s="35">
        <f>$E$28/'Fixed data'!$C$7</f>
        <v>-3.0986604444444444E-2</v>
      </c>
      <c r="AX30" s="35">
        <f>$E$28/'Fixed data'!$C$7</f>
        <v>-3.0986604444444444E-2</v>
      </c>
      <c r="AY30" s="35"/>
      <c r="AZ30" s="35"/>
      <c r="BA30" s="35"/>
      <c r="BB30" s="35"/>
      <c r="BC30" s="35"/>
      <c r="BD30" s="35"/>
    </row>
    <row r="31" spans="1:56" ht="16.5" hidden="1" customHeight="1" outlineLevel="1" x14ac:dyDescent="0.35">
      <c r="A31" s="114"/>
      <c r="B31" s="9" t="s">
        <v>2</v>
      </c>
      <c r="C31" s="11" t="s">
        <v>52</v>
      </c>
      <c r="D31" s="9" t="s">
        <v>39</v>
      </c>
      <c r="F31" s="35"/>
      <c r="G31" s="35">
        <f>$F$28/'Fixed data'!$C$7</f>
        <v>-3.1699048888888887E-2</v>
      </c>
      <c r="H31" s="35">
        <f>$F$28/'Fixed data'!$C$7</f>
        <v>-3.1699048888888887E-2</v>
      </c>
      <c r="I31" s="35">
        <f>$F$28/'Fixed data'!$C$7</f>
        <v>-3.1699048888888887E-2</v>
      </c>
      <c r="J31" s="35">
        <f>$F$28/'Fixed data'!$C$7</f>
        <v>-3.1699048888888887E-2</v>
      </c>
      <c r="K31" s="35">
        <f>$F$28/'Fixed data'!$C$7</f>
        <v>-3.1699048888888887E-2</v>
      </c>
      <c r="L31" s="35">
        <f>$F$28/'Fixed data'!$C$7</f>
        <v>-3.1699048888888887E-2</v>
      </c>
      <c r="M31" s="35">
        <f>$F$28/'Fixed data'!$C$7</f>
        <v>-3.1699048888888887E-2</v>
      </c>
      <c r="N31" s="35">
        <f>$F$28/'Fixed data'!$C$7</f>
        <v>-3.1699048888888887E-2</v>
      </c>
      <c r="O31" s="35">
        <f>$F$28/'Fixed data'!$C$7</f>
        <v>-3.1699048888888887E-2</v>
      </c>
      <c r="P31" s="35">
        <f>$F$28/'Fixed data'!$C$7</f>
        <v>-3.1699048888888887E-2</v>
      </c>
      <c r="Q31" s="35">
        <f>$F$28/'Fixed data'!$C$7</f>
        <v>-3.1699048888888887E-2</v>
      </c>
      <c r="R31" s="35">
        <f>$F$28/'Fixed data'!$C$7</f>
        <v>-3.1699048888888887E-2</v>
      </c>
      <c r="S31" s="35">
        <f>$F$28/'Fixed data'!$C$7</f>
        <v>-3.1699048888888887E-2</v>
      </c>
      <c r="T31" s="35">
        <f>$F$28/'Fixed data'!$C$7</f>
        <v>-3.1699048888888887E-2</v>
      </c>
      <c r="U31" s="35">
        <f>$F$28/'Fixed data'!$C$7</f>
        <v>-3.1699048888888887E-2</v>
      </c>
      <c r="V31" s="35">
        <f>$F$28/'Fixed data'!$C$7</f>
        <v>-3.1699048888888887E-2</v>
      </c>
      <c r="W31" s="35">
        <f>$F$28/'Fixed data'!$C$7</f>
        <v>-3.1699048888888887E-2</v>
      </c>
      <c r="X31" s="35">
        <f>$F$28/'Fixed data'!$C$7</f>
        <v>-3.1699048888888887E-2</v>
      </c>
      <c r="Y31" s="35">
        <f>$F$28/'Fixed data'!$C$7</f>
        <v>-3.1699048888888887E-2</v>
      </c>
      <c r="Z31" s="35">
        <f>$F$28/'Fixed data'!$C$7</f>
        <v>-3.1699048888888887E-2</v>
      </c>
      <c r="AA31" s="35">
        <f>$F$28/'Fixed data'!$C$7</f>
        <v>-3.1699048888888887E-2</v>
      </c>
      <c r="AB31" s="35">
        <f>$F$28/'Fixed data'!$C$7</f>
        <v>-3.1699048888888887E-2</v>
      </c>
      <c r="AC31" s="35">
        <f>$F$28/'Fixed data'!$C$7</f>
        <v>-3.1699048888888887E-2</v>
      </c>
      <c r="AD31" s="35">
        <f>$F$28/'Fixed data'!$C$7</f>
        <v>-3.1699048888888887E-2</v>
      </c>
      <c r="AE31" s="35">
        <f>$F$28/'Fixed data'!$C$7</f>
        <v>-3.1699048888888887E-2</v>
      </c>
      <c r="AF31" s="35">
        <f>$F$28/'Fixed data'!$C$7</f>
        <v>-3.1699048888888887E-2</v>
      </c>
      <c r="AG31" s="35">
        <f>$F$28/'Fixed data'!$C$7</f>
        <v>-3.1699048888888887E-2</v>
      </c>
      <c r="AH31" s="35">
        <f>$F$28/'Fixed data'!$C$7</f>
        <v>-3.1699048888888887E-2</v>
      </c>
      <c r="AI31" s="35">
        <f>$F$28/'Fixed data'!$C$7</f>
        <v>-3.1699048888888887E-2</v>
      </c>
      <c r="AJ31" s="35">
        <f>$F$28/'Fixed data'!$C$7</f>
        <v>-3.1699048888888887E-2</v>
      </c>
      <c r="AK31" s="35">
        <f>$F$28/'Fixed data'!$C$7</f>
        <v>-3.1699048888888887E-2</v>
      </c>
      <c r="AL31" s="35">
        <f>$F$28/'Fixed data'!$C$7</f>
        <v>-3.1699048888888887E-2</v>
      </c>
      <c r="AM31" s="35">
        <f>$F$28/'Fixed data'!$C$7</f>
        <v>-3.1699048888888887E-2</v>
      </c>
      <c r="AN31" s="35">
        <f>$F$28/'Fixed data'!$C$7</f>
        <v>-3.1699048888888887E-2</v>
      </c>
      <c r="AO31" s="35">
        <f>$F$28/'Fixed data'!$C$7</f>
        <v>-3.1699048888888887E-2</v>
      </c>
      <c r="AP31" s="35">
        <f>$F$28/'Fixed data'!$C$7</f>
        <v>-3.1699048888888887E-2</v>
      </c>
      <c r="AQ31" s="35">
        <f>$F$28/'Fixed data'!$C$7</f>
        <v>-3.1699048888888887E-2</v>
      </c>
      <c r="AR31" s="35">
        <f>$F$28/'Fixed data'!$C$7</f>
        <v>-3.1699048888888887E-2</v>
      </c>
      <c r="AS31" s="35">
        <f>$F$28/'Fixed data'!$C$7</f>
        <v>-3.1699048888888887E-2</v>
      </c>
      <c r="AT31" s="35">
        <f>$F$28/'Fixed data'!$C$7</f>
        <v>-3.1699048888888887E-2</v>
      </c>
      <c r="AU31" s="35">
        <f>$F$28/'Fixed data'!$C$7</f>
        <v>-3.1699048888888887E-2</v>
      </c>
      <c r="AV31" s="35">
        <f>$F$28/'Fixed data'!$C$7</f>
        <v>-3.1699048888888887E-2</v>
      </c>
      <c r="AW31" s="35">
        <f>$F$28/'Fixed data'!$C$7</f>
        <v>-3.1699048888888887E-2</v>
      </c>
      <c r="AX31" s="35">
        <f>$F$28/'Fixed data'!$C$7</f>
        <v>-3.1699048888888887E-2</v>
      </c>
      <c r="AY31" s="35">
        <f>$F$28/'Fixed data'!$C$7</f>
        <v>-3.1699048888888887E-2</v>
      </c>
      <c r="AZ31" s="35"/>
      <c r="BA31" s="35"/>
      <c r="BB31" s="35"/>
      <c r="BC31" s="35"/>
      <c r="BD31" s="35"/>
    </row>
    <row r="32" spans="1:56" ht="16.5" hidden="1" customHeight="1" outlineLevel="1" x14ac:dyDescent="0.35">
      <c r="A32" s="114"/>
      <c r="B32" s="9" t="s">
        <v>3</v>
      </c>
      <c r="C32" s="11" t="s">
        <v>53</v>
      </c>
      <c r="D32" s="9" t="s">
        <v>39</v>
      </c>
      <c r="F32" s="35"/>
      <c r="G32" s="35"/>
      <c r="H32" s="35">
        <f>$G$28/'Fixed data'!$C$7</f>
        <v>-3.2959048888888891E-2</v>
      </c>
      <c r="I32" s="35">
        <f>$G$28/'Fixed data'!$C$7</f>
        <v>-3.2959048888888891E-2</v>
      </c>
      <c r="J32" s="35">
        <f>$G$28/'Fixed data'!$C$7</f>
        <v>-3.2959048888888891E-2</v>
      </c>
      <c r="K32" s="35">
        <f>$G$28/'Fixed data'!$C$7</f>
        <v>-3.2959048888888891E-2</v>
      </c>
      <c r="L32" s="35">
        <f>$G$28/'Fixed data'!$C$7</f>
        <v>-3.2959048888888891E-2</v>
      </c>
      <c r="M32" s="35">
        <f>$G$28/'Fixed data'!$C$7</f>
        <v>-3.2959048888888891E-2</v>
      </c>
      <c r="N32" s="35">
        <f>$G$28/'Fixed data'!$C$7</f>
        <v>-3.2959048888888891E-2</v>
      </c>
      <c r="O32" s="35">
        <f>$G$28/'Fixed data'!$C$7</f>
        <v>-3.2959048888888891E-2</v>
      </c>
      <c r="P32" s="35">
        <f>$G$28/'Fixed data'!$C$7</f>
        <v>-3.2959048888888891E-2</v>
      </c>
      <c r="Q32" s="35">
        <f>$G$28/'Fixed data'!$C$7</f>
        <v>-3.2959048888888891E-2</v>
      </c>
      <c r="R32" s="35">
        <f>$G$28/'Fixed data'!$C$7</f>
        <v>-3.2959048888888891E-2</v>
      </c>
      <c r="S32" s="35">
        <f>$G$28/'Fixed data'!$C$7</f>
        <v>-3.2959048888888891E-2</v>
      </c>
      <c r="T32" s="35">
        <f>$G$28/'Fixed data'!$C$7</f>
        <v>-3.2959048888888891E-2</v>
      </c>
      <c r="U32" s="35">
        <f>$G$28/'Fixed data'!$C$7</f>
        <v>-3.2959048888888891E-2</v>
      </c>
      <c r="V32" s="35">
        <f>$G$28/'Fixed data'!$C$7</f>
        <v>-3.2959048888888891E-2</v>
      </c>
      <c r="W32" s="35">
        <f>$G$28/'Fixed data'!$C$7</f>
        <v>-3.2959048888888891E-2</v>
      </c>
      <c r="X32" s="35">
        <f>$G$28/'Fixed data'!$C$7</f>
        <v>-3.2959048888888891E-2</v>
      </c>
      <c r="Y32" s="35">
        <f>$G$28/'Fixed data'!$C$7</f>
        <v>-3.2959048888888891E-2</v>
      </c>
      <c r="Z32" s="35">
        <f>$G$28/'Fixed data'!$C$7</f>
        <v>-3.2959048888888891E-2</v>
      </c>
      <c r="AA32" s="35">
        <f>$G$28/'Fixed data'!$C$7</f>
        <v>-3.2959048888888891E-2</v>
      </c>
      <c r="AB32" s="35">
        <f>$G$28/'Fixed data'!$C$7</f>
        <v>-3.2959048888888891E-2</v>
      </c>
      <c r="AC32" s="35">
        <f>$G$28/'Fixed data'!$C$7</f>
        <v>-3.2959048888888891E-2</v>
      </c>
      <c r="AD32" s="35">
        <f>$G$28/'Fixed data'!$C$7</f>
        <v>-3.2959048888888891E-2</v>
      </c>
      <c r="AE32" s="35">
        <f>$G$28/'Fixed data'!$C$7</f>
        <v>-3.2959048888888891E-2</v>
      </c>
      <c r="AF32" s="35">
        <f>$G$28/'Fixed data'!$C$7</f>
        <v>-3.2959048888888891E-2</v>
      </c>
      <c r="AG32" s="35">
        <f>$G$28/'Fixed data'!$C$7</f>
        <v>-3.2959048888888891E-2</v>
      </c>
      <c r="AH32" s="35">
        <f>$G$28/'Fixed data'!$C$7</f>
        <v>-3.2959048888888891E-2</v>
      </c>
      <c r="AI32" s="35">
        <f>$G$28/'Fixed data'!$C$7</f>
        <v>-3.2959048888888891E-2</v>
      </c>
      <c r="AJ32" s="35">
        <f>$G$28/'Fixed data'!$C$7</f>
        <v>-3.2959048888888891E-2</v>
      </c>
      <c r="AK32" s="35">
        <f>$G$28/'Fixed data'!$C$7</f>
        <v>-3.2959048888888891E-2</v>
      </c>
      <c r="AL32" s="35">
        <f>$G$28/'Fixed data'!$C$7</f>
        <v>-3.2959048888888891E-2</v>
      </c>
      <c r="AM32" s="35">
        <f>$G$28/'Fixed data'!$C$7</f>
        <v>-3.2959048888888891E-2</v>
      </c>
      <c r="AN32" s="35">
        <f>$G$28/'Fixed data'!$C$7</f>
        <v>-3.2959048888888891E-2</v>
      </c>
      <c r="AO32" s="35">
        <f>$G$28/'Fixed data'!$C$7</f>
        <v>-3.2959048888888891E-2</v>
      </c>
      <c r="AP32" s="35">
        <f>$G$28/'Fixed data'!$C$7</f>
        <v>-3.2959048888888891E-2</v>
      </c>
      <c r="AQ32" s="35">
        <f>$G$28/'Fixed data'!$C$7</f>
        <v>-3.2959048888888891E-2</v>
      </c>
      <c r="AR32" s="35">
        <f>$G$28/'Fixed data'!$C$7</f>
        <v>-3.2959048888888891E-2</v>
      </c>
      <c r="AS32" s="35">
        <f>$G$28/'Fixed data'!$C$7</f>
        <v>-3.2959048888888891E-2</v>
      </c>
      <c r="AT32" s="35">
        <f>$G$28/'Fixed data'!$C$7</f>
        <v>-3.2959048888888891E-2</v>
      </c>
      <c r="AU32" s="35">
        <f>$G$28/'Fixed data'!$C$7</f>
        <v>-3.2959048888888891E-2</v>
      </c>
      <c r="AV32" s="35">
        <f>$G$28/'Fixed data'!$C$7</f>
        <v>-3.2959048888888891E-2</v>
      </c>
      <c r="AW32" s="35">
        <f>$G$28/'Fixed data'!$C$7</f>
        <v>-3.2959048888888891E-2</v>
      </c>
      <c r="AX32" s="35">
        <f>$G$28/'Fixed data'!$C$7</f>
        <v>-3.2959048888888891E-2</v>
      </c>
      <c r="AY32" s="35">
        <f>$G$28/'Fixed data'!$C$7</f>
        <v>-3.2959048888888891E-2</v>
      </c>
      <c r="AZ32" s="35">
        <f>$G$28/'Fixed data'!$C$7</f>
        <v>-3.2959048888888891E-2</v>
      </c>
      <c r="BA32" s="35"/>
      <c r="BB32" s="35"/>
      <c r="BC32" s="35"/>
      <c r="BD32" s="35"/>
    </row>
    <row r="33" spans="1:57" ht="16.5" hidden="1" customHeight="1" outlineLevel="1" x14ac:dyDescent="0.35">
      <c r="A33" s="114"/>
      <c r="B33" s="9" t="s">
        <v>4</v>
      </c>
      <c r="C33" s="11" t="s">
        <v>54</v>
      </c>
      <c r="D33" s="9" t="s">
        <v>39</v>
      </c>
      <c r="F33" s="35"/>
      <c r="G33" s="35"/>
      <c r="H33" s="35"/>
      <c r="I33" s="35">
        <f>$H$28/'Fixed data'!$C$7</f>
        <v>-3.3775606666666666E-2</v>
      </c>
      <c r="J33" s="35">
        <f>$H$28/'Fixed data'!$C$7</f>
        <v>-3.3775606666666666E-2</v>
      </c>
      <c r="K33" s="35">
        <f>$H$28/'Fixed data'!$C$7</f>
        <v>-3.3775606666666666E-2</v>
      </c>
      <c r="L33" s="35">
        <f>$H$28/'Fixed data'!$C$7</f>
        <v>-3.3775606666666666E-2</v>
      </c>
      <c r="M33" s="35">
        <f>$H$28/'Fixed data'!$C$7</f>
        <v>-3.3775606666666666E-2</v>
      </c>
      <c r="N33" s="35">
        <f>$H$28/'Fixed data'!$C$7</f>
        <v>-3.3775606666666666E-2</v>
      </c>
      <c r="O33" s="35">
        <f>$H$28/'Fixed data'!$C$7</f>
        <v>-3.3775606666666666E-2</v>
      </c>
      <c r="P33" s="35">
        <f>$H$28/'Fixed data'!$C$7</f>
        <v>-3.3775606666666666E-2</v>
      </c>
      <c r="Q33" s="35">
        <f>$H$28/'Fixed data'!$C$7</f>
        <v>-3.3775606666666666E-2</v>
      </c>
      <c r="R33" s="35">
        <f>$H$28/'Fixed data'!$C$7</f>
        <v>-3.3775606666666666E-2</v>
      </c>
      <c r="S33" s="35">
        <f>$H$28/'Fixed data'!$C$7</f>
        <v>-3.3775606666666666E-2</v>
      </c>
      <c r="T33" s="35">
        <f>$H$28/'Fixed data'!$C$7</f>
        <v>-3.3775606666666666E-2</v>
      </c>
      <c r="U33" s="35">
        <f>$H$28/'Fixed data'!$C$7</f>
        <v>-3.3775606666666666E-2</v>
      </c>
      <c r="V33" s="35">
        <f>$H$28/'Fixed data'!$C$7</f>
        <v>-3.3775606666666666E-2</v>
      </c>
      <c r="W33" s="35">
        <f>$H$28/'Fixed data'!$C$7</f>
        <v>-3.3775606666666666E-2</v>
      </c>
      <c r="X33" s="35">
        <f>$H$28/'Fixed data'!$C$7</f>
        <v>-3.3775606666666666E-2</v>
      </c>
      <c r="Y33" s="35">
        <f>$H$28/'Fixed data'!$C$7</f>
        <v>-3.3775606666666666E-2</v>
      </c>
      <c r="Z33" s="35">
        <f>$H$28/'Fixed data'!$C$7</f>
        <v>-3.3775606666666666E-2</v>
      </c>
      <c r="AA33" s="35">
        <f>$H$28/'Fixed data'!$C$7</f>
        <v>-3.3775606666666666E-2</v>
      </c>
      <c r="AB33" s="35">
        <f>$H$28/'Fixed data'!$C$7</f>
        <v>-3.3775606666666666E-2</v>
      </c>
      <c r="AC33" s="35">
        <f>$H$28/'Fixed data'!$C$7</f>
        <v>-3.3775606666666666E-2</v>
      </c>
      <c r="AD33" s="35">
        <f>$H$28/'Fixed data'!$C$7</f>
        <v>-3.3775606666666666E-2</v>
      </c>
      <c r="AE33" s="35">
        <f>$H$28/'Fixed data'!$C$7</f>
        <v>-3.3775606666666666E-2</v>
      </c>
      <c r="AF33" s="35">
        <f>$H$28/'Fixed data'!$C$7</f>
        <v>-3.3775606666666666E-2</v>
      </c>
      <c r="AG33" s="35">
        <f>$H$28/'Fixed data'!$C$7</f>
        <v>-3.3775606666666666E-2</v>
      </c>
      <c r="AH33" s="35">
        <f>$H$28/'Fixed data'!$C$7</f>
        <v>-3.3775606666666666E-2</v>
      </c>
      <c r="AI33" s="35">
        <f>$H$28/'Fixed data'!$C$7</f>
        <v>-3.3775606666666666E-2</v>
      </c>
      <c r="AJ33" s="35">
        <f>$H$28/'Fixed data'!$C$7</f>
        <v>-3.3775606666666666E-2</v>
      </c>
      <c r="AK33" s="35">
        <f>$H$28/'Fixed data'!$C$7</f>
        <v>-3.3775606666666666E-2</v>
      </c>
      <c r="AL33" s="35">
        <f>$H$28/'Fixed data'!$C$7</f>
        <v>-3.3775606666666666E-2</v>
      </c>
      <c r="AM33" s="35">
        <f>$H$28/'Fixed data'!$C$7</f>
        <v>-3.3775606666666666E-2</v>
      </c>
      <c r="AN33" s="35">
        <f>$H$28/'Fixed data'!$C$7</f>
        <v>-3.3775606666666666E-2</v>
      </c>
      <c r="AO33" s="35">
        <f>$H$28/'Fixed data'!$C$7</f>
        <v>-3.3775606666666666E-2</v>
      </c>
      <c r="AP33" s="35">
        <f>$H$28/'Fixed data'!$C$7</f>
        <v>-3.3775606666666666E-2</v>
      </c>
      <c r="AQ33" s="35">
        <f>$H$28/'Fixed data'!$C$7</f>
        <v>-3.3775606666666666E-2</v>
      </c>
      <c r="AR33" s="35">
        <f>$H$28/'Fixed data'!$C$7</f>
        <v>-3.3775606666666666E-2</v>
      </c>
      <c r="AS33" s="35">
        <f>$H$28/'Fixed data'!$C$7</f>
        <v>-3.3775606666666666E-2</v>
      </c>
      <c r="AT33" s="35">
        <f>$H$28/'Fixed data'!$C$7</f>
        <v>-3.3775606666666666E-2</v>
      </c>
      <c r="AU33" s="35">
        <f>$H$28/'Fixed data'!$C$7</f>
        <v>-3.3775606666666666E-2</v>
      </c>
      <c r="AV33" s="35">
        <f>$H$28/'Fixed data'!$C$7</f>
        <v>-3.3775606666666666E-2</v>
      </c>
      <c r="AW33" s="35">
        <f>$H$28/'Fixed data'!$C$7</f>
        <v>-3.3775606666666666E-2</v>
      </c>
      <c r="AX33" s="35">
        <f>$H$28/'Fixed data'!$C$7</f>
        <v>-3.3775606666666666E-2</v>
      </c>
      <c r="AY33" s="35">
        <f>$H$28/'Fixed data'!$C$7</f>
        <v>-3.3775606666666666E-2</v>
      </c>
      <c r="AZ33" s="35">
        <f>$H$28/'Fixed data'!$C$7</f>
        <v>-3.3775606666666666E-2</v>
      </c>
      <c r="BA33" s="35">
        <f>$H$28/'Fixed data'!$C$7</f>
        <v>-3.3775606666666666E-2</v>
      </c>
      <c r="BB33" s="35"/>
      <c r="BC33" s="35"/>
      <c r="BD33" s="35"/>
    </row>
    <row r="34" spans="1:57" ht="16.5" hidden="1" customHeight="1" outlineLevel="1" x14ac:dyDescent="0.35">
      <c r="A34" s="114"/>
      <c r="B34" s="9" t="s">
        <v>5</v>
      </c>
      <c r="C34" s="11" t="s">
        <v>55</v>
      </c>
      <c r="D34" s="9" t="s">
        <v>39</v>
      </c>
      <c r="F34" s="35"/>
      <c r="G34" s="35"/>
      <c r="H34" s="35"/>
      <c r="I34" s="35"/>
      <c r="J34" s="35">
        <f>$I$28/'Fixed data'!$C$7</f>
        <v>-2.9415539999999997E-2</v>
      </c>
      <c r="K34" s="35">
        <f>$I$28/'Fixed data'!$C$7</f>
        <v>-2.9415539999999997E-2</v>
      </c>
      <c r="L34" s="35">
        <f>$I$28/'Fixed data'!$C$7</f>
        <v>-2.9415539999999997E-2</v>
      </c>
      <c r="M34" s="35">
        <f>$I$28/'Fixed data'!$C$7</f>
        <v>-2.9415539999999997E-2</v>
      </c>
      <c r="N34" s="35">
        <f>$I$28/'Fixed data'!$C$7</f>
        <v>-2.9415539999999997E-2</v>
      </c>
      <c r="O34" s="35">
        <f>$I$28/'Fixed data'!$C$7</f>
        <v>-2.9415539999999997E-2</v>
      </c>
      <c r="P34" s="35">
        <f>$I$28/'Fixed data'!$C$7</f>
        <v>-2.9415539999999997E-2</v>
      </c>
      <c r="Q34" s="35">
        <f>$I$28/'Fixed data'!$C$7</f>
        <v>-2.9415539999999997E-2</v>
      </c>
      <c r="R34" s="35">
        <f>$I$28/'Fixed data'!$C$7</f>
        <v>-2.9415539999999997E-2</v>
      </c>
      <c r="S34" s="35">
        <f>$I$28/'Fixed data'!$C$7</f>
        <v>-2.9415539999999997E-2</v>
      </c>
      <c r="T34" s="35">
        <f>$I$28/'Fixed data'!$C$7</f>
        <v>-2.9415539999999997E-2</v>
      </c>
      <c r="U34" s="35">
        <f>$I$28/'Fixed data'!$C$7</f>
        <v>-2.9415539999999997E-2</v>
      </c>
      <c r="V34" s="35">
        <f>$I$28/'Fixed data'!$C$7</f>
        <v>-2.9415539999999997E-2</v>
      </c>
      <c r="W34" s="35">
        <f>$I$28/'Fixed data'!$C$7</f>
        <v>-2.9415539999999997E-2</v>
      </c>
      <c r="X34" s="35">
        <f>$I$28/'Fixed data'!$C$7</f>
        <v>-2.9415539999999997E-2</v>
      </c>
      <c r="Y34" s="35">
        <f>$I$28/'Fixed data'!$C$7</f>
        <v>-2.9415539999999997E-2</v>
      </c>
      <c r="Z34" s="35">
        <f>$I$28/'Fixed data'!$C$7</f>
        <v>-2.9415539999999997E-2</v>
      </c>
      <c r="AA34" s="35">
        <f>$I$28/'Fixed data'!$C$7</f>
        <v>-2.9415539999999997E-2</v>
      </c>
      <c r="AB34" s="35">
        <f>$I$28/'Fixed data'!$C$7</f>
        <v>-2.9415539999999997E-2</v>
      </c>
      <c r="AC34" s="35">
        <f>$I$28/'Fixed data'!$C$7</f>
        <v>-2.9415539999999997E-2</v>
      </c>
      <c r="AD34" s="35">
        <f>$I$28/'Fixed data'!$C$7</f>
        <v>-2.9415539999999997E-2</v>
      </c>
      <c r="AE34" s="35">
        <f>$I$28/'Fixed data'!$C$7</f>
        <v>-2.9415539999999997E-2</v>
      </c>
      <c r="AF34" s="35">
        <f>$I$28/'Fixed data'!$C$7</f>
        <v>-2.9415539999999997E-2</v>
      </c>
      <c r="AG34" s="35">
        <f>$I$28/'Fixed data'!$C$7</f>
        <v>-2.9415539999999997E-2</v>
      </c>
      <c r="AH34" s="35">
        <f>$I$28/'Fixed data'!$C$7</f>
        <v>-2.9415539999999997E-2</v>
      </c>
      <c r="AI34" s="35">
        <f>$I$28/'Fixed data'!$C$7</f>
        <v>-2.9415539999999997E-2</v>
      </c>
      <c r="AJ34" s="35">
        <f>$I$28/'Fixed data'!$C$7</f>
        <v>-2.9415539999999997E-2</v>
      </c>
      <c r="AK34" s="35">
        <f>$I$28/'Fixed data'!$C$7</f>
        <v>-2.9415539999999997E-2</v>
      </c>
      <c r="AL34" s="35">
        <f>$I$28/'Fixed data'!$C$7</f>
        <v>-2.9415539999999997E-2</v>
      </c>
      <c r="AM34" s="35">
        <f>$I$28/'Fixed data'!$C$7</f>
        <v>-2.9415539999999997E-2</v>
      </c>
      <c r="AN34" s="35">
        <f>$I$28/'Fixed data'!$C$7</f>
        <v>-2.9415539999999997E-2</v>
      </c>
      <c r="AO34" s="35">
        <f>$I$28/'Fixed data'!$C$7</f>
        <v>-2.9415539999999997E-2</v>
      </c>
      <c r="AP34" s="35">
        <f>$I$28/'Fixed data'!$C$7</f>
        <v>-2.9415539999999997E-2</v>
      </c>
      <c r="AQ34" s="35">
        <f>$I$28/'Fixed data'!$C$7</f>
        <v>-2.9415539999999997E-2</v>
      </c>
      <c r="AR34" s="35">
        <f>$I$28/'Fixed data'!$C$7</f>
        <v>-2.9415539999999997E-2</v>
      </c>
      <c r="AS34" s="35">
        <f>$I$28/'Fixed data'!$C$7</f>
        <v>-2.9415539999999997E-2</v>
      </c>
      <c r="AT34" s="35">
        <f>$I$28/'Fixed data'!$C$7</f>
        <v>-2.9415539999999997E-2</v>
      </c>
      <c r="AU34" s="35">
        <f>$I$28/'Fixed data'!$C$7</f>
        <v>-2.9415539999999997E-2</v>
      </c>
      <c r="AV34" s="35">
        <f>$I$28/'Fixed data'!$C$7</f>
        <v>-2.9415539999999997E-2</v>
      </c>
      <c r="AW34" s="35">
        <f>$I$28/'Fixed data'!$C$7</f>
        <v>-2.9415539999999997E-2</v>
      </c>
      <c r="AX34" s="35">
        <f>$I$28/'Fixed data'!$C$7</f>
        <v>-2.9415539999999997E-2</v>
      </c>
      <c r="AY34" s="35">
        <f>$I$28/'Fixed data'!$C$7</f>
        <v>-2.9415539999999997E-2</v>
      </c>
      <c r="AZ34" s="35">
        <f>$I$28/'Fixed data'!$C$7</f>
        <v>-2.9415539999999997E-2</v>
      </c>
      <c r="BA34" s="35">
        <f>$I$28/'Fixed data'!$C$7</f>
        <v>-2.9415539999999997E-2</v>
      </c>
      <c r="BB34" s="35">
        <f>$I$28/'Fixed data'!$C$7</f>
        <v>-2.9415539999999997E-2</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-3.0986604444444444E-2</v>
      </c>
      <c r="G60" s="35">
        <f t="shared" si="5"/>
        <v>-6.2685653333333327E-2</v>
      </c>
      <c r="H60" s="35">
        <f t="shared" si="5"/>
        <v>-9.5644702222222211E-2</v>
      </c>
      <c r="I60" s="35">
        <f t="shared" si="5"/>
        <v>-0.12942030888888889</v>
      </c>
      <c r="J60" s="35">
        <f t="shared" si="5"/>
        <v>-0.15883584888888888</v>
      </c>
      <c r="K60" s="35">
        <f t="shared" si="5"/>
        <v>-0.15883584888888888</v>
      </c>
      <c r="L60" s="35">
        <f t="shared" si="5"/>
        <v>-0.15883584888888888</v>
      </c>
      <c r="M60" s="35">
        <f t="shared" si="5"/>
        <v>-0.15883584888888888</v>
      </c>
      <c r="N60" s="35">
        <f t="shared" si="5"/>
        <v>-0.15883584888888888</v>
      </c>
      <c r="O60" s="35">
        <f t="shared" si="5"/>
        <v>-0.15883584888888888</v>
      </c>
      <c r="P60" s="35">
        <f t="shared" si="5"/>
        <v>-0.15883584888888888</v>
      </c>
      <c r="Q60" s="35">
        <f t="shared" si="5"/>
        <v>-0.15883584888888888</v>
      </c>
      <c r="R60" s="35">
        <f t="shared" si="5"/>
        <v>-0.15883584888888888</v>
      </c>
      <c r="S60" s="35">
        <f t="shared" si="5"/>
        <v>-0.15883584888888888</v>
      </c>
      <c r="T60" s="35">
        <f t="shared" si="5"/>
        <v>-0.15883584888888888</v>
      </c>
      <c r="U60" s="35">
        <f t="shared" si="5"/>
        <v>-0.15883584888888888</v>
      </c>
      <c r="V60" s="35">
        <f t="shared" si="5"/>
        <v>-0.15883584888888888</v>
      </c>
      <c r="W60" s="35">
        <f t="shared" si="5"/>
        <v>-0.15883584888888888</v>
      </c>
      <c r="X60" s="35">
        <f t="shared" si="5"/>
        <v>-0.15883584888888888</v>
      </c>
      <c r="Y60" s="35">
        <f t="shared" si="5"/>
        <v>-0.15883584888888888</v>
      </c>
      <c r="Z60" s="35">
        <f t="shared" si="5"/>
        <v>-0.15883584888888888</v>
      </c>
      <c r="AA60" s="35">
        <f t="shared" si="5"/>
        <v>-0.15883584888888888</v>
      </c>
      <c r="AB60" s="35">
        <f t="shared" si="5"/>
        <v>-0.15883584888888888</v>
      </c>
      <c r="AC60" s="35">
        <f t="shared" si="5"/>
        <v>-0.15883584888888888</v>
      </c>
      <c r="AD60" s="35">
        <f t="shared" si="5"/>
        <v>-0.15883584888888888</v>
      </c>
      <c r="AE60" s="35">
        <f t="shared" si="5"/>
        <v>-0.15883584888888888</v>
      </c>
      <c r="AF60" s="35">
        <f t="shared" si="5"/>
        <v>-0.15883584888888888</v>
      </c>
      <c r="AG60" s="35">
        <f t="shared" si="5"/>
        <v>-0.15883584888888888</v>
      </c>
      <c r="AH60" s="35">
        <f t="shared" si="5"/>
        <v>-0.15883584888888888</v>
      </c>
      <c r="AI60" s="35">
        <f t="shared" si="5"/>
        <v>-0.15883584888888888</v>
      </c>
      <c r="AJ60" s="35">
        <f t="shared" si="5"/>
        <v>-0.15883584888888888</v>
      </c>
      <c r="AK60" s="35">
        <f t="shared" si="5"/>
        <v>-0.15883584888888888</v>
      </c>
      <c r="AL60" s="35">
        <f t="shared" si="5"/>
        <v>-0.15883584888888888</v>
      </c>
      <c r="AM60" s="35">
        <f t="shared" si="5"/>
        <v>-0.15883584888888888</v>
      </c>
      <c r="AN60" s="35">
        <f t="shared" si="5"/>
        <v>-0.15883584888888888</v>
      </c>
      <c r="AO60" s="35">
        <f t="shared" si="5"/>
        <v>-0.15883584888888888</v>
      </c>
      <c r="AP60" s="35">
        <f t="shared" si="5"/>
        <v>-0.15883584888888888</v>
      </c>
      <c r="AQ60" s="35">
        <f t="shared" si="5"/>
        <v>-0.15883584888888888</v>
      </c>
      <c r="AR60" s="35">
        <f t="shared" si="5"/>
        <v>-0.15883584888888888</v>
      </c>
      <c r="AS60" s="35">
        <f t="shared" si="5"/>
        <v>-0.15883584888888888</v>
      </c>
      <c r="AT60" s="35">
        <f t="shared" si="5"/>
        <v>-0.15883584888888888</v>
      </c>
      <c r="AU60" s="35">
        <f t="shared" si="5"/>
        <v>-0.15883584888888888</v>
      </c>
      <c r="AV60" s="35">
        <f t="shared" si="5"/>
        <v>-0.15883584888888888</v>
      </c>
      <c r="AW60" s="35">
        <f t="shared" si="5"/>
        <v>-0.15883584888888888</v>
      </c>
      <c r="AX60" s="35">
        <f t="shared" si="5"/>
        <v>-0.15883584888888888</v>
      </c>
      <c r="AY60" s="35">
        <f t="shared" si="5"/>
        <v>-0.12784924444444445</v>
      </c>
      <c r="AZ60" s="35">
        <f t="shared" si="5"/>
        <v>-9.615019555555554E-2</v>
      </c>
      <c r="BA60" s="35">
        <f t="shared" si="5"/>
        <v>-6.319114666666667E-2</v>
      </c>
      <c r="BB60" s="35">
        <f t="shared" si="5"/>
        <v>-2.9415539999999997E-2</v>
      </c>
      <c r="BC60" s="35">
        <f t="shared" si="5"/>
        <v>0</v>
      </c>
      <c r="BD60" s="35">
        <f t="shared" si="5"/>
        <v>0</v>
      </c>
    </row>
    <row r="61" spans="1:56" ht="17.25" hidden="1" customHeight="1" outlineLevel="1" x14ac:dyDescent="0.35">
      <c r="A61" s="114"/>
      <c r="B61" s="9" t="s">
        <v>34</v>
      </c>
      <c r="C61" s="9" t="s">
        <v>60</v>
      </c>
      <c r="D61" s="9" t="s">
        <v>39</v>
      </c>
      <c r="E61" s="35">
        <v>0</v>
      </c>
      <c r="F61" s="35">
        <f>E62</f>
        <v>-1.3943972</v>
      </c>
      <c r="G61" s="35">
        <f t="shared" ref="G61:BD61" si="6">F62</f>
        <v>-2.7898677955555558</v>
      </c>
      <c r="H61" s="35">
        <f t="shared" si="6"/>
        <v>-4.2103393422222224</v>
      </c>
      <c r="I61" s="35">
        <f t="shared" si="6"/>
        <v>-5.6345969399999998</v>
      </c>
      <c r="J61" s="35">
        <f t="shared" si="6"/>
        <v>-6.8288759311111109</v>
      </c>
      <c r="K61" s="35">
        <f t="shared" si="6"/>
        <v>-6.6700400822222221</v>
      </c>
      <c r="L61" s="35">
        <f t="shared" si="6"/>
        <v>-6.5112042333333333</v>
      </c>
      <c r="M61" s="35">
        <f t="shared" si="6"/>
        <v>-6.3523683844444445</v>
      </c>
      <c r="N61" s="35">
        <f t="shared" si="6"/>
        <v>-6.1935325355555557</v>
      </c>
      <c r="O61" s="35">
        <f t="shared" si="6"/>
        <v>-6.0346966866666669</v>
      </c>
      <c r="P61" s="35">
        <f t="shared" si="6"/>
        <v>-5.8758608377777781</v>
      </c>
      <c r="Q61" s="35">
        <f t="shared" si="6"/>
        <v>-5.7170249888888893</v>
      </c>
      <c r="R61" s="35">
        <f t="shared" si="6"/>
        <v>-5.5581891400000005</v>
      </c>
      <c r="S61" s="35">
        <f t="shared" si="6"/>
        <v>-5.3993532911111117</v>
      </c>
      <c r="T61" s="35">
        <f t="shared" si="6"/>
        <v>-5.2405174422222229</v>
      </c>
      <c r="U61" s="35">
        <f t="shared" si="6"/>
        <v>-5.0816815933333341</v>
      </c>
      <c r="V61" s="35">
        <f t="shared" si="6"/>
        <v>-4.9228457444444453</v>
      </c>
      <c r="W61" s="35">
        <f t="shared" si="6"/>
        <v>-4.7640098955555565</v>
      </c>
      <c r="X61" s="35">
        <f t="shared" si="6"/>
        <v>-4.6051740466666677</v>
      </c>
      <c r="Y61" s="35">
        <f t="shared" si="6"/>
        <v>-4.4463381977777789</v>
      </c>
      <c r="Z61" s="35">
        <f t="shared" si="6"/>
        <v>-4.2875023488888901</v>
      </c>
      <c r="AA61" s="35">
        <f t="shared" si="6"/>
        <v>-4.1286665000000013</v>
      </c>
      <c r="AB61" s="35">
        <f t="shared" si="6"/>
        <v>-3.9698306511111126</v>
      </c>
      <c r="AC61" s="35">
        <f t="shared" si="6"/>
        <v>-3.8109948022222238</v>
      </c>
      <c r="AD61" s="35">
        <f t="shared" si="6"/>
        <v>-3.652158953333335</v>
      </c>
      <c r="AE61" s="35">
        <f t="shared" si="6"/>
        <v>-3.4933231044444462</v>
      </c>
      <c r="AF61" s="35">
        <f t="shared" si="6"/>
        <v>-3.3344872555555574</v>
      </c>
      <c r="AG61" s="35">
        <f t="shared" si="6"/>
        <v>-3.1756514066666686</v>
      </c>
      <c r="AH61" s="35">
        <f t="shared" si="6"/>
        <v>-3.0168155577777798</v>
      </c>
      <c r="AI61" s="35">
        <f t="shared" si="6"/>
        <v>-2.857979708888891</v>
      </c>
      <c r="AJ61" s="35">
        <f t="shared" si="6"/>
        <v>-2.6991438600000022</v>
      </c>
      <c r="AK61" s="35">
        <f t="shared" si="6"/>
        <v>-2.5403080111111134</v>
      </c>
      <c r="AL61" s="35">
        <f t="shared" si="6"/>
        <v>-2.3814721622222246</v>
      </c>
      <c r="AM61" s="35">
        <f t="shared" si="6"/>
        <v>-2.2226363133333358</v>
      </c>
      <c r="AN61" s="35">
        <f t="shared" si="6"/>
        <v>-2.063800464444447</v>
      </c>
      <c r="AO61" s="35">
        <f t="shared" si="6"/>
        <v>-1.9049646155555582</v>
      </c>
      <c r="AP61" s="35">
        <f t="shared" si="6"/>
        <v>-1.7461287666666694</v>
      </c>
      <c r="AQ61" s="35">
        <f t="shared" si="6"/>
        <v>-1.5872929177777806</v>
      </c>
      <c r="AR61" s="35">
        <f t="shared" si="6"/>
        <v>-1.4284570688888918</v>
      </c>
      <c r="AS61" s="35">
        <f t="shared" si="6"/>
        <v>-1.269621220000003</v>
      </c>
      <c r="AT61" s="35">
        <f t="shared" si="6"/>
        <v>-1.1107853711111142</v>
      </c>
      <c r="AU61" s="35">
        <f t="shared" si="6"/>
        <v>-0.95194952222222529</v>
      </c>
      <c r="AV61" s="35">
        <f t="shared" si="6"/>
        <v>-0.79311367333333638</v>
      </c>
      <c r="AW61" s="35">
        <f t="shared" si="6"/>
        <v>-0.63427782444444747</v>
      </c>
      <c r="AX61" s="35">
        <f t="shared" si="6"/>
        <v>-0.47544197555555856</v>
      </c>
      <c r="AY61" s="35">
        <f t="shared" si="6"/>
        <v>-0.31660612666666965</v>
      </c>
      <c r="AZ61" s="35">
        <f t="shared" si="6"/>
        <v>-0.1887568822222252</v>
      </c>
      <c r="BA61" s="35">
        <f t="shared" si="6"/>
        <v>-9.2606686666669658E-2</v>
      </c>
      <c r="BB61" s="35">
        <f t="shared" si="6"/>
        <v>-2.9415540000002988E-2</v>
      </c>
      <c r="BC61" s="35">
        <f t="shared" si="6"/>
        <v>-2.9906632725840154E-15</v>
      </c>
      <c r="BD61" s="35">
        <f t="shared" si="6"/>
        <v>-2.9906632725840154E-15</v>
      </c>
    </row>
    <row r="62" spans="1:56" ht="16.5" hidden="1" customHeight="1" outlineLevel="1" x14ac:dyDescent="0.3">
      <c r="A62" s="114"/>
      <c r="B62" s="9" t="s">
        <v>33</v>
      </c>
      <c r="C62" s="9" t="s">
        <v>67</v>
      </c>
      <c r="D62" s="9" t="s">
        <v>39</v>
      </c>
      <c r="E62" s="35">
        <f t="shared" ref="E62:BD62" si="7">E28-E60+E61</f>
        <v>-1.3943972</v>
      </c>
      <c r="F62" s="35">
        <f t="shared" si="7"/>
        <v>-2.7898677955555558</v>
      </c>
      <c r="G62" s="35">
        <f t="shared" si="7"/>
        <v>-4.2103393422222224</v>
      </c>
      <c r="H62" s="35">
        <f t="shared" si="7"/>
        <v>-5.6345969399999998</v>
      </c>
      <c r="I62" s="35">
        <f t="shared" si="7"/>
        <v>-6.8288759311111109</v>
      </c>
      <c r="J62" s="35">
        <f t="shared" si="7"/>
        <v>-6.6700400822222221</v>
      </c>
      <c r="K62" s="35">
        <f t="shared" si="7"/>
        <v>-6.5112042333333333</v>
      </c>
      <c r="L62" s="35">
        <f t="shared" si="7"/>
        <v>-6.3523683844444445</v>
      </c>
      <c r="M62" s="35">
        <f t="shared" si="7"/>
        <v>-6.1935325355555557</v>
      </c>
      <c r="N62" s="35">
        <f t="shared" si="7"/>
        <v>-6.0346966866666669</v>
      </c>
      <c r="O62" s="35">
        <f t="shared" si="7"/>
        <v>-5.8758608377777781</v>
      </c>
      <c r="P62" s="35">
        <f t="shared" si="7"/>
        <v>-5.7170249888888893</v>
      </c>
      <c r="Q62" s="35">
        <f t="shared" si="7"/>
        <v>-5.5581891400000005</v>
      </c>
      <c r="R62" s="35">
        <f t="shared" si="7"/>
        <v>-5.3993532911111117</v>
      </c>
      <c r="S62" s="35">
        <f t="shared" si="7"/>
        <v>-5.2405174422222229</v>
      </c>
      <c r="T62" s="35">
        <f t="shared" si="7"/>
        <v>-5.0816815933333341</v>
      </c>
      <c r="U62" s="35">
        <f t="shared" si="7"/>
        <v>-4.9228457444444453</v>
      </c>
      <c r="V62" s="35">
        <f t="shared" si="7"/>
        <v>-4.7640098955555565</v>
      </c>
      <c r="W62" s="35">
        <f t="shared" si="7"/>
        <v>-4.6051740466666677</v>
      </c>
      <c r="X62" s="35">
        <f t="shared" si="7"/>
        <v>-4.4463381977777789</v>
      </c>
      <c r="Y62" s="35">
        <f t="shared" si="7"/>
        <v>-4.2875023488888901</v>
      </c>
      <c r="Z62" s="35">
        <f t="shared" si="7"/>
        <v>-4.1286665000000013</v>
      </c>
      <c r="AA62" s="35">
        <f t="shared" si="7"/>
        <v>-3.9698306511111126</v>
      </c>
      <c r="AB62" s="35">
        <f t="shared" si="7"/>
        <v>-3.8109948022222238</v>
      </c>
      <c r="AC62" s="35">
        <f t="shared" si="7"/>
        <v>-3.652158953333335</v>
      </c>
      <c r="AD62" s="35">
        <f t="shared" si="7"/>
        <v>-3.4933231044444462</v>
      </c>
      <c r="AE62" s="35">
        <f t="shared" si="7"/>
        <v>-3.3344872555555574</v>
      </c>
      <c r="AF62" s="35">
        <f t="shared" si="7"/>
        <v>-3.1756514066666686</v>
      </c>
      <c r="AG62" s="35">
        <f t="shared" si="7"/>
        <v>-3.0168155577777798</v>
      </c>
      <c r="AH62" s="35">
        <f t="shared" si="7"/>
        <v>-2.857979708888891</v>
      </c>
      <c r="AI62" s="35">
        <f t="shared" si="7"/>
        <v>-2.6991438600000022</v>
      </c>
      <c r="AJ62" s="35">
        <f t="shared" si="7"/>
        <v>-2.5403080111111134</v>
      </c>
      <c r="AK62" s="35">
        <f t="shared" si="7"/>
        <v>-2.3814721622222246</v>
      </c>
      <c r="AL62" s="35">
        <f t="shared" si="7"/>
        <v>-2.2226363133333358</v>
      </c>
      <c r="AM62" s="35">
        <f t="shared" si="7"/>
        <v>-2.063800464444447</v>
      </c>
      <c r="AN62" s="35">
        <f t="shared" si="7"/>
        <v>-1.9049646155555582</v>
      </c>
      <c r="AO62" s="35">
        <f t="shared" si="7"/>
        <v>-1.7461287666666694</v>
      </c>
      <c r="AP62" s="35">
        <f t="shared" si="7"/>
        <v>-1.5872929177777806</v>
      </c>
      <c r="AQ62" s="35">
        <f t="shared" si="7"/>
        <v>-1.4284570688888918</v>
      </c>
      <c r="AR62" s="35">
        <f t="shared" si="7"/>
        <v>-1.269621220000003</v>
      </c>
      <c r="AS62" s="35">
        <f t="shared" si="7"/>
        <v>-1.1107853711111142</v>
      </c>
      <c r="AT62" s="35">
        <f t="shared" si="7"/>
        <v>-0.95194952222222529</v>
      </c>
      <c r="AU62" s="35">
        <f t="shared" si="7"/>
        <v>-0.79311367333333638</v>
      </c>
      <c r="AV62" s="35">
        <f t="shared" si="7"/>
        <v>-0.63427782444444747</v>
      </c>
      <c r="AW62" s="35">
        <f t="shared" si="7"/>
        <v>-0.47544197555555856</v>
      </c>
      <c r="AX62" s="35">
        <f t="shared" si="7"/>
        <v>-0.31660612666666965</v>
      </c>
      <c r="AY62" s="35">
        <f t="shared" si="7"/>
        <v>-0.1887568822222252</v>
      </c>
      <c r="AZ62" s="35">
        <f t="shared" si="7"/>
        <v>-9.2606686666669658E-2</v>
      </c>
      <c r="BA62" s="35">
        <f t="shared" si="7"/>
        <v>-2.9415540000002988E-2</v>
      </c>
      <c r="BB62" s="35">
        <f t="shared" si="7"/>
        <v>-2.9906632725840154E-15</v>
      </c>
      <c r="BC62" s="35">
        <f t="shared" si="7"/>
        <v>-2.9906632725840154E-15</v>
      </c>
      <c r="BD62" s="35">
        <f t="shared" si="7"/>
        <v>-2.9906632725840154E-15</v>
      </c>
    </row>
    <row r="63" spans="1:56" ht="16.5" collapsed="1" x14ac:dyDescent="0.3">
      <c r="A63" s="114"/>
      <c r="B63" s="9" t="s">
        <v>8</v>
      </c>
      <c r="C63" s="11" t="s">
        <v>66</v>
      </c>
      <c r="D63" s="9" t="s">
        <v>39</v>
      </c>
      <c r="E63" s="35">
        <f>AVERAGE(E61:E62)*'Fixed data'!$C$3</f>
        <v>-2.7887944000000001E-2</v>
      </c>
      <c r="F63" s="35">
        <f>AVERAGE(F61:F62)*'Fixed data'!$C$3</f>
        <v>-8.3685299911111122E-2</v>
      </c>
      <c r="G63" s="35">
        <f>AVERAGE(G61:G62)*'Fixed data'!$C$3</f>
        <v>-0.14000414275555556</v>
      </c>
      <c r="H63" s="35">
        <f>AVERAGE(H61:H62)*'Fixed data'!$C$3</f>
        <v>-0.19689872564444444</v>
      </c>
      <c r="I63" s="35">
        <f>AVERAGE(I61:I62)*'Fixed data'!$C$3</f>
        <v>-0.24926945742222223</v>
      </c>
      <c r="J63" s="35">
        <f>AVERAGE(J61:J62)*'Fixed data'!$C$3</f>
        <v>-0.26997832026666663</v>
      </c>
      <c r="K63" s="35">
        <f>AVERAGE(K61:K62)*'Fixed data'!$C$3</f>
        <v>-0.26362488631111114</v>
      </c>
      <c r="L63" s="35">
        <f>AVERAGE(L61:L62)*'Fixed data'!$C$3</f>
        <v>-0.25727145235555554</v>
      </c>
      <c r="M63" s="35">
        <f>AVERAGE(M61:M62)*'Fixed data'!$C$3</f>
        <v>-0.25091801840000005</v>
      </c>
      <c r="N63" s="35">
        <f>AVERAGE(N61:N62)*'Fixed data'!$C$3</f>
        <v>-0.24456458444444443</v>
      </c>
      <c r="O63" s="35">
        <f>AVERAGE(O61:O62)*'Fixed data'!$C$3</f>
        <v>-0.23821115048888891</v>
      </c>
      <c r="P63" s="35">
        <f>AVERAGE(P61:P62)*'Fixed data'!$C$3</f>
        <v>-0.23185771653333334</v>
      </c>
      <c r="Q63" s="35">
        <f>AVERAGE(Q61:Q62)*'Fixed data'!$C$3</f>
        <v>-0.22550428257777783</v>
      </c>
      <c r="R63" s="35">
        <f>AVERAGE(R61:R62)*'Fixed data'!$C$3</f>
        <v>-0.21915084862222223</v>
      </c>
      <c r="S63" s="35">
        <f>AVERAGE(S61:S62)*'Fixed data'!$C$3</f>
        <v>-0.21279741466666671</v>
      </c>
      <c r="T63" s="35">
        <f>AVERAGE(T61:T62)*'Fixed data'!$C$3</f>
        <v>-0.20644398071111114</v>
      </c>
      <c r="U63" s="35">
        <f>AVERAGE(U61:U62)*'Fixed data'!$C$3</f>
        <v>-0.2000905467555556</v>
      </c>
      <c r="V63" s="35">
        <f>AVERAGE(V61:V62)*'Fixed data'!$C$3</f>
        <v>-0.19373711280000003</v>
      </c>
      <c r="W63" s="35">
        <f>AVERAGE(W61:W62)*'Fixed data'!$C$3</f>
        <v>-0.18738367884444451</v>
      </c>
      <c r="X63" s="35">
        <f>AVERAGE(X61:X62)*'Fixed data'!$C$3</f>
        <v>-0.18103024488888891</v>
      </c>
      <c r="Y63" s="35">
        <f>AVERAGE(Y61:Y62)*'Fixed data'!$C$3</f>
        <v>-0.1746768109333334</v>
      </c>
      <c r="Z63" s="35">
        <f>AVERAGE(Z61:Z62)*'Fixed data'!$C$3</f>
        <v>-0.16832337697777783</v>
      </c>
      <c r="AA63" s="35">
        <f>AVERAGE(AA61:AA62)*'Fixed data'!$C$3</f>
        <v>-0.16196994302222231</v>
      </c>
      <c r="AB63" s="35">
        <f>AVERAGE(AB61:AB62)*'Fixed data'!$C$3</f>
        <v>-0.15561650906666674</v>
      </c>
      <c r="AC63" s="35">
        <f>AVERAGE(AC61:AC62)*'Fixed data'!$C$3</f>
        <v>-0.14926307511111117</v>
      </c>
      <c r="AD63" s="35">
        <f>AVERAGE(AD61:AD62)*'Fixed data'!$C$3</f>
        <v>-0.14290964115555563</v>
      </c>
      <c r="AE63" s="35">
        <f>AVERAGE(AE61:AE62)*'Fixed data'!$C$3</f>
        <v>-0.13655620720000008</v>
      </c>
      <c r="AF63" s="35">
        <f>AVERAGE(AF61:AF62)*'Fixed data'!$C$3</f>
        <v>-0.13020277324444451</v>
      </c>
      <c r="AG63" s="35">
        <f>AVERAGE(AG61:AG62)*'Fixed data'!$C$3</f>
        <v>-0.12384933928888897</v>
      </c>
      <c r="AH63" s="35">
        <f>AVERAGE(AH61:AH62)*'Fixed data'!$C$3</f>
        <v>-0.11749590533333341</v>
      </c>
      <c r="AI63" s="35">
        <f>AVERAGE(AI61:AI62)*'Fixed data'!$C$3</f>
        <v>-0.11114247137777787</v>
      </c>
      <c r="AJ63" s="35">
        <f>AVERAGE(AJ61:AJ62)*'Fixed data'!$C$3</f>
        <v>-0.10478903742222231</v>
      </c>
      <c r="AK63" s="35">
        <f>AVERAGE(AK61:AK62)*'Fixed data'!$C$3</f>
        <v>-9.8435603466666757E-2</v>
      </c>
      <c r="AL63" s="35">
        <f>AVERAGE(AL61:AL62)*'Fixed data'!$C$3</f>
        <v>-9.2082169511111214E-2</v>
      </c>
      <c r="AM63" s="35">
        <f>AVERAGE(AM61:AM62)*'Fixed data'!$C$3</f>
        <v>-8.5728735555555657E-2</v>
      </c>
      <c r="AN63" s="35">
        <f>AVERAGE(AN61:AN62)*'Fixed data'!$C$3</f>
        <v>-7.93753016000001E-2</v>
      </c>
      <c r="AO63" s="35">
        <f>AVERAGE(AO61:AO62)*'Fixed data'!$C$3</f>
        <v>-7.3021867644444557E-2</v>
      </c>
      <c r="AP63" s="35">
        <f>AVERAGE(AP61:AP62)*'Fixed data'!$C$3</f>
        <v>-6.6668433688889001E-2</v>
      </c>
      <c r="AQ63" s="35">
        <f>AVERAGE(AQ61:AQ62)*'Fixed data'!$C$3</f>
        <v>-6.0314999733333451E-2</v>
      </c>
      <c r="AR63" s="35">
        <f>AVERAGE(AR61:AR62)*'Fixed data'!$C$3</f>
        <v>-5.3961565777777894E-2</v>
      </c>
      <c r="AS63" s="35">
        <f>AVERAGE(AS61:AS62)*'Fixed data'!$C$3</f>
        <v>-4.7608131822222344E-2</v>
      </c>
      <c r="AT63" s="35">
        <f>AVERAGE(AT61:AT62)*'Fixed data'!$C$3</f>
        <v>-4.1254697866666794E-2</v>
      </c>
      <c r="AU63" s="35">
        <f>AVERAGE(AU61:AU62)*'Fixed data'!$C$3</f>
        <v>-3.490126391111123E-2</v>
      </c>
      <c r="AV63" s="35">
        <f>AVERAGE(AV61:AV62)*'Fixed data'!$C$3</f>
        <v>-2.854782995555568E-2</v>
      </c>
      <c r="AW63" s="35">
        <f>AVERAGE(AW61:AW62)*'Fixed data'!$C$3</f>
        <v>-2.219439600000012E-2</v>
      </c>
      <c r="AX63" s="35">
        <f>AVERAGE(AX61:AX62)*'Fixed data'!$C$3</f>
        <v>-1.5840962044444566E-2</v>
      </c>
      <c r="AY63" s="35">
        <f>AVERAGE(AY61:AY62)*'Fixed data'!$C$3</f>
        <v>-1.0107260177777896E-2</v>
      </c>
      <c r="AZ63" s="35">
        <f>AVERAGE(AZ61:AZ62)*'Fixed data'!$C$3</f>
        <v>-5.6272713777778972E-3</v>
      </c>
      <c r="BA63" s="35">
        <f>AVERAGE(BA61:BA62)*'Fixed data'!$C$3</f>
        <v>-2.4404445333334529E-3</v>
      </c>
      <c r="BB63" s="35">
        <f>AVERAGE(BB61:BB62)*'Fixed data'!$C$3</f>
        <v>-5.8831080000011963E-4</v>
      </c>
      <c r="BC63" s="35">
        <f>AVERAGE(BC61:BC62)*'Fixed data'!$C$3</f>
        <v>-1.1962653090336063E-16</v>
      </c>
      <c r="BD63" s="35">
        <f>AVERAGE(BD61:BD62)*'Fixed data'!$C$3</f>
        <v>-1.1962653090336063E-16</v>
      </c>
    </row>
    <row r="64" spans="1:56" ht="15.75" thickBot="1" x14ac:dyDescent="0.35">
      <c r="A64" s="113"/>
      <c r="B64" s="12" t="s">
        <v>93</v>
      </c>
      <c r="C64" s="12" t="s">
        <v>44</v>
      </c>
      <c r="D64" s="12" t="s">
        <v>39</v>
      </c>
      <c r="E64" s="53">
        <f t="shared" ref="E64:BD64" si="8">E29+E60+E63</f>
        <v>-0.62548674400000015</v>
      </c>
      <c r="F64" s="53">
        <f t="shared" si="8"/>
        <v>-0.7260107043555557</v>
      </c>
      <c r="G64" s="53">
        <f t="shared" si="8"/>
        <v>-0.8383285960888891</v>
      </c>
      <c r="H64" s="53">
        <f t="shared" si="8"/>
        <v>-0.94393012786666664</v>
      </c>
      <c r="I64" s="53">
        <f t="shared" si="8"/>
        <v>-0.94598946631111125</v>
      </c>
      <c r="J64" s="53">
        <f t="shared" si="8"/>
        <v>-0.42881416915555548</v>
      </c>
      <c r="K64" s="53">
        <f t="shared" si="8"/>
        <v>-0.42246073520000005</v>
      </c>
      <c r="L64" s="53">
        <f t="shared" si="8"/>
        <v>-0.41610730124444439</v>
      </c>
      <c r="M64" s="53">
        <f t="shared" si="8"/>
        <v>-0.40975386728888896</v>
      </c>
      <c r="N64" s="53">
        <f t="shared" si="8"/>
        <v>-0.40340043333333331</v>
      </c>
      <c r="O64" s="53">
        <f t="shared" si="8"/>
        <v>-0.39704699937777777</v>
      </c>
      <c r="P64" s="53">
        <f t="shared" si="8"/>
        <v>-0.39069356542222222</v>
      </c>
      <c r="Q64" s="53">
        <f t="shared" si="8"/>
        <v>-0.38434013146666668</v>
      </c>
      <c r="R64" s="53">
        <f t="shared" si="8"/>
        <v>-0.37798669751111114</v>
      </c>
      <c r="S64" s="53">
        <f t="shared" si="8"/>
        <v>-0.37163326355555559</v>
      </c>
      <c r="T64" s="53">
        <f t="shared" si="8"/>
        <v>-0.36527982960000005</v>
      </c>
      <c r="U64" s="53">
        <f t="shared" si="8"/>
        <v>-0.35892639564444451</v>
      </c>
      <c r="V64" s="53">
        <f t="shared" si="8"/>
        <v>-0.35257296168888891</v>
      </c>
      <c r="W64" s="53">
        <f t="shared" si="8"/>
        <v>-0.34621952773333342</v>
      </c>
      <c r="X64" s="53">
        <f t="shared" si="8"/>
        <v>-0.33986609377777777</v>
      </c>
      <c r="Y64" s="53">
        <f t="shared" si="8"/>
        <v>-0.33351265982222228</v>
      </c>
      <c r="Z64" s="53">
        <f t="shared" si="8"/>
        <v>-0.32715922586666668</v>
      </c>
      <c r="AA64" s="53">
        <f t="shared" si="8"/>
        <v>-0.32080579191111119</v>
      </c>
      <c r="AB64" s="53">
        <f t="shared" si="8"/>
        <v>-0.31445235795555559</v>
      </c>
      <c r="AC64" s="53">
        <f t="shared" si="8"/>
        <v>-0.30809892400000005</v>
      </c>
      <c r="AD64" s="53">
        <f t="shared" si="8"/>
        <v>-0.30174549004444451</v>
      </c>
      <c r="AE64" s="53">
        <f t="shared" si="8"/>
        <v>-0.29539205608888897</v>
      </c>
      <c r="AF64" s="53">
        <f t="shared" si="8"/>
        <v>-0.28903862213333342</v>
      </c>
      <c r="AG64" s="53">
        <f t="shared" si="8"/>
        <v>-0.28268518817777788</v>
      </c>
      <c r="AH64" s="53">
        <f t="shared" si="8"/>
        <v>-0.27633175422222228</v>
      </c>
      <c r="AI64" s="53">
        <f t="shared" si="8"/>
        <v>-0.26997832026666674</v>
      </c>
      <c r="AJ64" s="53">
        <f t="shared" si="8"/>
        <v>-0.2636248863111112</v>
      </c>
      <c r="AK64" s="53">
        <f t="shared" si="8"/>
        <v>-0.25727145235555565</v>
      </c>
      <c r="AL64" s="53">
        <f t="shared" si="8"/>
        <v>-0.25091801840000011</v>
      </c>
      <c r="AM64" s="53">
        <f t="shared" si="8"/>
        <v>-0.24456458444444454</v>
      </c>
      <c r="AN64" s="53">
        <f t="shared" si="8"/>
        <v>-0.23821115048888897</v>
      </c>
      <c r="AO64" s="53">
        <f t="shared" si="8"/>
        <v>-0.23185771653333342</v>
      </c>
      <c r="AP64" s="53">
        <f t="shared" si="8"/>
        <v>-0.22550428257777788</v>
      </c>
      <c r="AQ64" s="53">
        <f t="shared" si="8"/>
        <v>-0.21915084862222234</v>
      </c>
      <c r="AR64" s="53">
        <f t="shared" si="8"/>
        <v>-0.21279741466666677</v>
      </c>
      <c r="AS64" s="53">
        <f t="shared" si="8"/>
        <v>-0.20644398071111122</v>
      </c>
      <c r="AT64" s="53">
        <f t="shared" si="8"/>
        <v>-0.20009054675555568</v>
      </c>
      <c r="AU64" s="53">
        <f t="shared" si="8"/>
        <v>-0.19373711280000011</v>
      </c>
      <c r="AV64" s="53">
        <f t="shared" si="8"/>
        <v>-0.18738367884444457</v>
      </c>
      <c r="AW64" s="53">
        <f t="shared" si="8"/>
        <v>-0.181030244888889</v>
      </c>
      <c r="AX64" s="53">
        <f t="shared" si="8"/>
        <v>-0.17467681093333345</v>
      </c>
      <c r="AY64" s="53">
        <f t="shared" si="8"/>
        <v>-0.13795650462222236</v>
      </c>
      <c r="AZ64" s="53">
        <f t="shared" si="8"/>
        <v>-0.10177746693333344</v>
      </c>
      <c r="BA64" s="53">
        <f t="shared" si="8"/>
        <v>-6.5631591200000117E-2</v>
      </c>
      <c r="BB64" s="53">
        <f t="shared" si="8"/>
        <v>-3.0003850800000117E-2</v>
      </c>
      <c r="BC64" s="53">
        <f t="shared" si="8"/>
        <v>-1.1962653090336063E-16</v>
      </c>
      <c r="BD64" s="53">
        <f t="shared" si="8"/>
        <v>-1.1962653090336063E-16</v>
      </c>
    </row>
    <row r="65" spans="1:56" ht="12.75" customHeight="1" x14ac:dyDescent="0.3">
      <c r="A65" s="223"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24"/>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24"/>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24"/>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24"/>
      <c r="B69" s="4" t="s">
        <v>201</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24"/>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24"/>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24"/>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24"/>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24"/>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24"/>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25"/>
      <c r="B76" s="13" t="s">
        <v>99</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-0.62548674400000015</v>
      </c>
      <c r="F77" s="54">
        <f>IF('Fixed data'!$G$19=FALSE,F64+F76,F64)</f>
        <v>-0.7260107043555557</v>
      </c>
      <c r="G77" s="54">
        <f>IF('Fixed data'!$G$19=FALSE,G64+G76,G64)</f>
        <v>-0.8383285960888891</v>
      </c>
      <c r="H77" s="54">
        <f>IF('Fixed data'!$G$19=FALSE,H64+H76,H64)</f>
        <v>-0.94393012786666664</v>
      </c>
      <c r="I77" s="54">
        <f>IF('Fixed data'!$G$19=FALSE,I64+I76,I64)</f>
        <v>-0.94598946631111125</v>
      </c>
      <c r="J77" s="54">
        <f>IF('Fixed data'!$G$19=FALSE,J64+J76,J64)</f>
        <v>-0.42881416915555548</v>
      </c>
      <c r="K77" s="54">
        <f>IF('Fixed data'!$G$19=FALSE,K64+K76,K64)</f>
        <v>-0.42246073520000005</v>
      </c>
      <c r="L77" s="54">
        <f>IF('Fixed data'!$G$19=FALSE,L64+L76,L64)</f>
        <v>-0.41610730124444439</v>
      </c>
      <c r="M77" s="54">
        <f>IF('Fixed data'!$G$19=FALSE,M64+M76,M64)</f>
        <v>-0.40975386728888896</v>
      </c>
      <c r="N77" s="54">
        <f>IF('Fixed data'!$G$19=FALSE,N64+N76,N64)</f>
        <v>-0.40340043333333331</v>
      </c>
      <c r="O77" s="54">
        <f>IF('Fixed data'!$G$19=FALSE,O64+O76,O64)</f>
        <v>-0.39704699937777777</v>
      </c>
      <c r="P77" s="54">
        <f>IF('Fixed data'!$G$19=FALSE,P64+P76,P64)</f>
        <v>-0.39069356542222222</v>
      </c>
      <c r="Q77" s="54">
        <f>IF('Fixed data'!$G$19=FALSE,Q64+Q76,Q64)</f>
        <v>-0.38434013146666668</v>
      </c>
      <c r="R77" s="54">
        <f>IF('Fixed data'!$G$19=FALSE,R64+R76,R64)</f>
        <v>-0.37798669751111114</v>
      </c>
      <c r="S77" s="54">
        <f>IF('Fixed data'!$G$19=FALSE,S64+S76,S64)</f>
        <v>-0.37163326355555559</v>
      </c>
      <c r="T77" s="54">
        <f>IF('Fixed data'!$G$19=FALSE,T64+T76,T64)</f>
        <v>-0.36527982960000005</v>
      </c>
      <c r="U77" s="54">
        <f>IF('Fixed data'!$G$19=FALSE,U64+U76,U64)</f>
        <v>-0.35892639564444451</v>
      </c>
      <c r="V77" s="54">
        <f>IF('Fixed data'!$G$19=FALSE,V64+V76,V64)</f>
        <v>-0.35257296168888891</v>
      </c>
      <c r="W77" s="54">
        <f>IF('Fixed data'!$G$19=FALSE,W64+W76,W64)</f>
        <v>-0.34621952773333342</v>
      </c>
      <c r="X77" s="54">
        <f>IF('Fixed data'!$G$19=FALSE,X64+X76,X64)</f>
        <v>-0.33986609377777777</v>
      </c>
      <c r="Y77" s="54">
        <f>IF('Fixed data'!$G$19=FALSE,Y64+Y76,Y64)</f>
        <v>-0.33351265982222228</v>
      </c>
      <c r="Z77" s="54">
        <f>IF('Fixed data'!$G$19=FALSE,Z64+Z76,Z64)</f>
        <v>-0.32715922586666668</v>
      </c>
      <c r="AA77" s="54">
        <f>IF('Fixed data'!$G$19=FALSE,AA64+AA76,AA64)</f>
        <v>-0.32080579191111119</v>
      </c>
      <c r="AB77" s="54">
        <f>IF('Fixed data'!$G$19=FALSE,AB64+AB76,AB64)</f>
        <v>-0.31445235795555559</v>
      </c>
      <c r="AC77" s="54">
        <f>IF('Fixed data'!$G$19=FALSE,AC64+AC76,AC64)</f>
        <v>-0.30809892400000005</v>
      </c>
      <c r="AD77" s="54">
        <f>IF('Fixed data'!$G$19=FALSE,AD64+AD76,AD64)</f>
        <v>-0.30174549004444451</v>
      </c>
      <c r="AE77" s="54">
        <f>IF('Fixed data'!$G$19=FALSE,AE64+AE76,AE64)</f>
        <v>-0.29539205608888897</v>
      </c>
      <c r="AF77" s="54">
        <f>IF('Fixed data'!$G$19=FALSE,AF64+AF76,AF64)</f>
        <v>-0.28903862213333342</v>
      </c>
      <c r="AG77" s="54">
        <f>IF('Fixed data'!$G$19=FALSE,AG64+AG76,AG64)</f>
        <v>-0.28268518817777788</v>
      </c>
      <c r="AH77" s="54">
        <f>IF('Fixed data'!$G$19=FALSE,AH64+AH76,AH64)</f>
        <v>-0.27633175422222228</v>
      </c>
      <c r="AI77" s="54">
        <f>IF('Fixed data'!$G$19=FALSE,AI64+AI76,AI64)</f>
        <v>-0.26997832026666674</v>
      </c>
      <c r="AJ77" s="54">
        <f>IF('Fixed data'!$G$19=FALSE,AJ64+AJ76,AJ64)</f>
        <v>-0.2636248863111112</v>
      </c>
      <c r="AK77" s="54">
        <f>IF('Fixed data'!$G$19=FALSE,AK64+AK76,AK64)</f>
        <v>-0.25727145235555565</v>
      </c>
      <c r="AL77" s="54">
        <f>IF('Fixed data'!$G$19=FALSE,AL64+AL76,AL64)</f>
        <v>-0.25091801840000011</v>
      </c>
      <c r="AM77" s="54">
        <f>IF('Fixed data'!$G$19=FALSE,AM64+AM76,AM64)</f>
        <v>-0.24456458444444454</v>
      </c>
      <c r="AN77" s="54">
        <f>IF('Fixed data'!$G$19=FALSE,AN64+AN76,AN64)</f>
        <v>-0.23821115048888897</v>
      </c>
      <c r="AO77" s="54">
        <f>IF('Fixed data'!$G$19=FALSE,AO64+AO76,AO64)</f>
        <v>-0.23185771653333342</v>
      </c>
      <c r="AP77" s="54">
        <f>IF('Fixed data'!$G$19=FALSE,AP64+AP76,AP64)</f>
        <v>-0.22550428257777788</v>
      </c>
      <c r="AQ77" s="54">
        <f>IF('Fixed data'!$G$19=FALSE,AQ64+AQ76,AQ64)</f>
        <v>-0.21915084862222234</v>
      </c>
      <c r="AR77" s="54">
        <f>IF('Fixed data'!$G$19=FALSE,AR64+AR76,AR64)</f>
        <v>-0.21279741466666677</v>
      </c>
      <c r="AS77" s="54">
        <f>IF('Fixed data'!$G$19=FALSE,AS64+AS76,AS64)</f>
        <v>-0.20644398071111122</v>
      </c>
      <c r="AT77" s="54">
        <f>IF('Fixed data'!$G$19=FALSE,AT64+AT76,AT64)</f>
        <v>-0.20009054675555568</v>
      </c>
      <c r="AU77" s="54">
        <f>IF('Fixed data'!$G$19=FALSE,AU64+AU76,AU64)</f>
        <v>-0.19373711280000011</v>
      </c>
      <c r="AV77" s="54">
        <f>IF('Fixed data'!$G$19=FALSE,AV64+AV76,AV64)</f>
        <v>-0.18738367884444457</v>
      </c>
      <c r="AW77" s="54">
        <f>IF('Fixed data'!$G$19=FALSE,AW64+AW76,AW64)</f>
        <v>-0.181030244888889</v>
      </c>
      <c r="AX77" s="54">
        <f>IF('Fixed data'!$G$19=FALSE,AX64+AX76,AX64)</f>
        <v>-0.17467681093333345</v>
      </c>
      <c r="AY77" s="54">
        <f>IF('Fixed data'!$G$19=FALSE,AY64+AY76,AY64)</f>
        <v>-0.13795650462222236</v>
      </c>
      <c r="AZ77" s="54">
        <f>IF('Fixed data'!$G$19=FALSE,AZ64+AZ76,AZ64)</f>
        <v>-0.10177746693333344</v>
      </c>
      <c r="BA77" s="54">
        <f>IF('Fixed data'!$G$19=FALSE,BA64+BA76,BA64)</f>
        <v>-6.5631591200000117E-2</v>
      </c>
      <c r="BB77" s="54">
        <f>IF('Fixed data'!$G$19=FALSE,BB64+BB76,BB64)</f>
        <v>-3.0003850800000117E-2</v>
      </c>
      <c r="BC77" s="54">
        <f>IF('Fixed data'!$G$19=FALSE,BC64+BC76,BC64)</f>
        <v>-1.1962653090336063E-16</v>
      </c>
      <c r="BD77" s="54">
        <f>IF('Fixed data'!$G$19=FALSE,BD64+BD76,BD64)</f>
        <v>-1.1962653090336063E-16</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-0.60433501835748815</v>
      </c>
      <c r="F80" s="55">
        <f t="shared" ref="F80:BD80" si="10">F77*F78</f>
        <v>-0.67773876109646036</v>
      </c>
      <c r="G80" s="55">
        <f t="shared" si="10"/>
        <v>-0.75612436219528734</v>
      </c>
      <c r="H80" s="55">
        <f t="shared" si="10"/>
        <v>-0.8225805734199263</v>
      </c>
      <c r="I80" s="55">
        <f t="shared" si="10"/>
        <v>-0.79649774676477147</v>
      </c>
      <c r="J80" s="55">
        <f t="shared" si="10"/>
        <v>-0.34884060289633811</v>
      </c>
      <c r="K80" s="55">
        <f t="shared" si="10"/>
        <v>-0.33205031911104055</v>
      </c>
      <c r="L80" s="55">
        <f t="shared" si="10"/>
        <v>-0.31599669319098767</v>
      </c>
      <c r="M80" s="55">
        <f t="shared" si="10"/>
        <v>-0.30064910340433065</v>
      </c>
      <c r="N80" s="55">
        <f t="shared" si="10"/>
        <v>-0.28597815664867471</v>
      </c>
      <c r="O80" s="55">
        <f t="shared" si="10"/>
        <v>-0.27195564037286846</v>
      </c>
      <c r="P80" s="55">
        <f t="shared" si="10"/>
        <v>-0.25855447634545781</v>
      </c>
      <c r="Q80" s="55">
        <f t="shared" si="10"/>
        <v>-0.24574867619989196</v>
      </c>
      <c r="R80" s="55">
        <f t="shared" si="10"/>
        <v>-0.2335132986891815</v>
      </c>
      <c r="S80" s="55">
        <f t="shared" si="10"/>
        <v>-0.22182440858523075</v>
      </c>
      <c r="T80" s="55">
        <f t="shared" si="10"/>
        <v>-0.21065903716049023</v>
      </c>
      <c r="U80" s="55">
        <f t="shared" si="10"/>
        <v>-0.19999514419191489</v>
      </c>
      <c r="V80" s="55">
        <f t="shared" si="10"/>
        <v>-0.18981158142946022</v>
      </c>
      <c r="W80" s="55">
        <f t="shared" si="10"/>
        <v>-0.18008805747351667</v>
      </c>
      <c r="X80" s="55">
        <f t="shared" si="10"/>
        <v>-0.170805104007766</v>
      </c>
      <c r="Y80" s="55">
        <f t="shared" si="10"/>
        <v>-0.16194404333595563</v>
      </c>
      <c r="Z80" s="55">
        <f t="shared" si="10"/>
        <v>-0.15348695717301414</v>
      </c>
      <c r="AA80" s="55">
        <f t="shared" si="10"/>
        <v>-0.14541665664280023</v>
      </c>
      <c r="AB80" s="55">
        <f t="shared" si="10"/>
        <v>-0.13771665343656314</v>
      </c>
      <c r="AC80" s="55">
        <f t="shared" si="10"/>
        <v>-0.13037113208792314</v>
      </c>
      <c r="AD80" s="55">
        <f t="shared" si="10"/>
        <v>-0.1233649233218397</v>
      </c>
      <c r="AE80" s="55">
        <f t="shared" si="10"/>
        <v>-0.11668347843663567</v>
      </c>
      <c r="AF80" s="55">
        <f t="shared" si="10"/>
        <v>-0.11031284467968552</v>
      </c>
      <c r="AG80" s="55">
        <f t="shared" si="10"/>
        <v>-0.10423964157885916</v>
      </c>
      <c r="AH80" s="55">
        <f t="shared" si="10"/>
        <v>-9.8451038193239415E-2</v>
      </c>
      <c r="AI80" s="55">
        <f t="shared" si="10"/>
        <v>-0.10798785757884631</v>
      </c>
      <c r="AJ80" s="55">
        <f t="shared" si="10"/>
        <v>-0.10237530647475168</v>
      </c>
      <c r="AK80" s="55">
        <f t="shared" si="10"/>
        <v>-9.6998090073656465E-2</v>
      </c>
      <c r="AL80" s="55">
        <f t="shared" si="10"/>
        <v>-9.1847260888849702E-2</v>
      </c>
      <c r="AM80" s="55">
        <f t="shared" si="10"/>
        <v>-8.6914193003462967E-2</v>
      </c>
      <c r="AN80" s="55">
        <f t="shared" si="10"/>
        <v>-8.2190570928724713E-2</v>
      </c>
      <c r="AO80" s="55">
        <f t="shared" si="10"/>
        <v>-7.7668378838448446E-2</v>
      </c>
      <c r="AP80" s="55">
        <f t="shared" si="10"/>
        <v>-7.3339890167291047E-2</v>
      </c>
      <c r="AQ80" s="55">
        <f t="shared" si="10"/>
        <v>-6.9197657560723061E-2</v>
      </c>
      <c r="AR80" s="55">
        <f t="shared" si="10"/>
        <v>-6.5234503165047114E-2</v>
      </c>
      <c r="AS80" s="55">
        <f t="shared" si="10"/>
        <v>-6.1443509246181527E-2</v>
      </c>
      <c r="AT80" s="55">
        <f t="shared" si="10"/>
        <v>-5.7818009126295436E-2</v>
      </c>
      <c r="AU80" s="55">
        <f t="shared" si="10"/>
        <v>-5.4351578427737843E-2</v>
      </c>
      <c r="AV80" s="55">
        <f t="shared" si="10"/>
        <v>-5.1038026614048944E-2</v>
      </c>
      <c r="AW80" s="55">
        <f t="shared" si="10"/>
        <v>-4.7871388818176049E-2</v>
      </c>
      <c r="AX80" s="55">
        <f t="shared" si="10"/>
        <v>-4.4845917948339822E-2</v>
      </c>
      <c r="AY80" s="55">
        <f t="shared" si="10"/>
        <v>-3.4386867962736663E-2</v>
      </c>
      <c r="AZ80" s="55">
        <f t="shared" si="10"/>
        <v>-2.4630024961488094E-2</v>
      </c>
      <c r="BA80" s="55">
        <f t="shared" si="10"/>
        <v>-1.542016152890455E-2</v>
      </c>
      <c r="BB80" s="55">
        <f t="shared" si="10"/>
        <v>-6.8440907884355006E-3</v>
      </c>
      <c r="BC80" s="55">
        <f t="shared" si="10"/>
        <v>-2.6492872456062479E-17</v>
      </c>
      <c r="BD80" s="55">
        <f t="shared" si="10"/>
        <v>-2.5721235394235417E-17</v>
      </c>
    </row>
    <row r="81" spans="1:56" x14ac:dyDescent="0.3">
      <c r="A81" s="75"/>
      <c r="B81" s="15" t="s">
        <v>18</v>
      </c>
      <c r="C81" s="15"/>
      <c r="D81" s="14" t="s">
        <v>39</v>
      </c>
      <c r="E81" s="56">
        <f>+E80</f>
        <v>-0.60433501835748815</v>
      </c>
      <c r="F81" s="56">
        <f t="shared" ref="F81:BD81" si="11">+E81+F80</f>
        <v>-1.2820737794539485</v>
      </c>
      <c r="G81" s="56">
        <f t="shared" si="11"/>
        <v>-2.0381981416492359</v>
      </c>
      <c r="H81" s="56">
        <f t="shared" si="11"/>
        <v>-2.8607787150691619</v>
      </c>
      <c r="I81" s="56">
        <f t="shared" si="11"/>
        <v>-3.6572764618339333</v>
      </c>
      <c r="J81" s="56">
        <f t="shared" si="11"/>
        <v>-4.0061170647302715</v>
      </c>
      <c r="K81" s="56">
        <f t="shared" si="11"/>
        <v>-4.338167383841312</v>
      </c>
      <c r="L81" s="56">
        <f t="shared" si="11"/>
        <v>-4.6541640770322994</v>
      </c>
      <c r="M81" s="56">
        <f t="shared" si="11"/>
        <v>-4.9548131804366298</v>
      </c>
      <c r="N81" s="56">
        <f t="shared" si="11"/>
        <v>-5.2407913370853043</v>
      </c>
      <c r="O81" s="56">
        <f t="shared" si="11"/>
        <v>-5.512746977458173</v>
      </c>
      <c r="P81" s="56">
        <f t="shared" si="11"/>
        <v>-5.7713014538036305</v>
      </c>
      <c r="Q81" s="56">
        <f t="shared" si="11"/>
        <v>-6.0170501300035228</v>
      </c>
      <c r="R81" s="56">
        <f t="shared" si="11"/>
        <v>-6.2505634286927041</v>
      </c>
      <c r="S81" s="56">
        <f t="shared" si="11"/>
        <v>-6.4723878372779344</v>
      </c>
      <c r="T81" s="56">
        <f t="shared" si="11"/>
        <v>-6.6830468744384248</v>
      </c>
      <c r="U81" s="56">
        <f t="shared" si="11"/>
        <v>-6.8830420186303396</v>
      </c>
      <c r="V81" s="56">
        <f t="shared" si="11"/>
        <v>-7.0728536000597995</v>
      </c>
      <c r="W81" s="56">
        <f t="shared" si="11"/>
        <v>-7.2529416575333165</v>
      </c>
      <c r="X81" s="56">
        <f t="shared" si="11"/>
        <v>-7.4237467615410822</v>
      </c>
      <c r="Y81" s="56">
        <f t="shared" si="11"/>
        <v>-7.5856908048770375</v>
      </c>
      <c r="Z81" s="56">
        <f t="shared" si="11"/>
        <v>-7.7391777620500513</v>
      </c>
      <c r="AA81" s="56">
        <f t="shared" si="11"/>
        <v>-7.8845944186928518</v>
      </c>
      <c r="AB81" s="56">
        <f t="shared" si="11"/>
        <v>-8.0223110721294155</v>
      </c>
      <c r="AC81" s="56">
        <f t="shared" si="11"/>
        <v>-8.1526822042173386</v>
      </c>
      <c r="AD81" s="56">
        <f t="shared" si="11"/>
        <v>-8.2760471275391776</v>
      </c>
      <c r="AE81" s="56">
        <f t="shared" si="11"/>
        <v>-8.3927306059758138</v>
      </c>
      <c r="AF81" s="56">
        <f t="shared" si="11"/>
        <v>-8.5030434506554986</v>
      </c>
      <c r="AG81" s="56">
        <f t="shared" si="11"/>
        <v>-8.6072830922343577</v>
      </c>
      <c r="AH81" s="56">
        <f t="shared" si="11"/>
        <v>-8.7057341304275973</v>
      </c>
      <c r="AI81" s="56">
        <f t="shared" si="11"/>
        <v>-8.8137219880064439</v>
      </c>
      <c r="AJ81" s="56">
        <f t="shared" si="11"/>
        <v>-8.9160972944811956</v>
      </c>
      <c r="AK81" s="56">
        <f t="shared" si="11"/>
        <v>-9.0130953845548518</v>
      </c>
      <c r="AL81" s="56">
        <f t="shared" si="11"/>
        <v>-9.1049426454437015</v>
      </c>
      <c r="AM81" s="56">
        <f t="shared" si="11"/>
        <v>-9.1918568384471637</v>
      </c>
      <c r="AN81" s="56">
        <f t="shared" si="11"/>
        <v>-9.2740474093758891</v>
      </c>
      <c r="AO81" s="56">
        <f t="shared" si="11"/>
        <v>-9.3517157882143369</v>
      </c>
      <c r="AP81" s="56">
        <f t="shared" si="11"/>
        <v>-9.4250556783816286</v>
      </c>
      <c r="AQ81" s="56">
        <f t="shared" si="11"/>
        <v>-9.4942533359423518</v>
      </c>
      <c r="AR81" s="56">
        <f t="shared" si="11"/>
        <v>-9.5594878391073994</v>
      </c>
      <c r="AS81" s="56">
        <f t="shared" si="11"/>
        <v>-9.6209313483535812</v>
      </c>
      <c r="AT81" s="56">
        <f t="shared" si="11"/>
        <v>-9.6787493574798766</v>
      </c>
      <c r="AU81" s="56">
        <f t="shared" si="11"/>
        <v>-9.7331009359076148</v>
      </c>
      <c r="AV81" s="56">
        <f t="shared" si="11"/>
        <v>-9.7841389625216646</v>
      </c>
      <c r="AW81" s="56">
        <f t="shared" si="11"/>
        <v>-9.8320103513398411</v>
      </c>
      <c r="AX81" s="56">
        <f t="shared" si="11"/>
        <v>-9.8768562692881812</v>
      </c>
      <c r="AY81" s="56">
        <f t="shared" si="11"/>
        <v>-9.9112431372509171</v>
      </c>
      <c r="AZ81" s="56">
        <f t="shared" si="11"/>
        <v>-9.9358731622124044</v>
      </c>
      <c r="BA81" s="56">
        <f t="shared" si="11"/>
        <v>-9.951293323741309</v>
      </c>
      <c r="BB81" s="56">
        <f t="shared" si="11"/>
        <v>-9.9581374145297445</v>
      </c>
      <c r="BC81" s="56">
        <f t="shared" si="11"/>
        <v>-9.9581374145297445</v>
      </c>
      <c r="BD81" s="56">
        <f t="shared" si="11"/>
        <v>-9.9581374145297445</v>
      </c>
    </row>
    <row r="82" spans="1:56" x14ac:dyDescent="0.3">
      <c r="A82" s="75"/>
      <c r="B82" s="14"/>
    </row>
    <row r="83" spans="1:56" x14ac:dyDescent="0.3">
      <c r="A83" s="75"/>
      <c r="E83" s="5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26"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26"/>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26"/>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26"/>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26"/>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26"/>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26"/>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26"/>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B14" xr:uid="{00000000-0002-0000-0600-000000000000}">
      <formula1>$B$170:$B$214</formula1>
    </dataValidation>
    <dataValidation type="list" allowBlank="1" showInputMessage="1" showErrorMessage="1" sqref="B15: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K24"/>
  <sheetViews>
    <sheetView workbookViewId="0">
      <selection activeCell="H10" sqref="H10"/>
    </sheetView>
  </sheetViews>
  <sheetFormatPr defaultRowHeight="15" x14ac:dyDescent="0.25"/>
  <cols>
    <col min="1" max="1" width="5.85546875" customWidth="1"/>
    <col min="2" max="2" width="54" customWidth="1"/>
    <col min="3" max="3" width="15" customWidth="1"/>
    <col min="6" max="6" width="12.7109375" bestFit="1" customWidth="1"/>
    <col min="7" max="7" width="13.85546875" bestFit="1" customWidth="1"/>
    <col min="8" max="8" width="12.5703125" bestFit="1" customWidth="1"/>
    <col min="9" max="9" width="11.140625" bestFit="1" customWidth="1"/>
    <col min="10" max="11" width="12.7109375" bestFit="1" customWidth="1"/>
  </cols>
  <sheetData>
    <row r="1" spans="1:11" ht="18.75" x14ac:dyDescent="0.3">
      <c r="A1" s="1" t="s">
        <v>80</v>
      </c>
    </row>
    <row r="2" spans="1:11" ht="21" x14ac:dyDescent="0.35">
      <c r="A2" t="s">
        <v>335</v>
      </c>
    </row>
    <row r="3" spans="1:11" x14ac:dyDescent="0.25">
      <c r="F3" s="148"/>
      <c r="G3" s="148"/>
    </row>
    <row r="5" spans="1:11" x14ac:dyDescent="0.25">
      <c r="B5" t="s">
        <v>349</v>
      </c>
    </row>
    <row r="6" spans="1:11" x14ac:dyDescent="0.25">
      <c r="G6" s="149"/>
    </row>
    <row r="7" spans="1:11" ht="15.75" thickBot="1" x14ac:dyDescent="0.3">
      <c r="B7" s="129" t="s">
        <v>354</v>
      </c>
      <c r="C7" s="129"/>
      <c r="D7" s="129" t="s">
        <v>362</v>
      </c>
      <c r="E7" s="129" t="s">
        <v>363</v>
      </c>
      <c r="F7" s="163" t="s">
        <v>364</v>
      </c>
      <c r="G7" s="129" t="s">
        <v>377</v>
      </c>
      <c r="H7" s="163" t="s">
        <v>379</v>
      </c>
    </row>
    <row r="8" spans="1:11" x14ac:dyDescent="0.25">
      <c r="B8" s="150" t="s">
        <v>356</v>
      </c>
      <c r="C8" s="174">
        <v>1899996</v>
      </c>
      <c r="D8" s="160">
        <f>C8/1000000</f>
        <v>1.899996</v>
      </c>
      <c r="E8" s="160">
        <f>D8</f>
        <v>1.899996</v>
      </c>
      <c r="F8" s="160">
        <f>D8</f>
        <v>1.899996</v>
      </c>
      <c r="G8" s="182">
        <f>1900002/1000000</f>
        <v>1.900002</v>
      </c>
      <c r="H8" s="184">
        <f>1890999/1000000</f>
        <v>1.8909990000000001</v>
      </c>
      <c r="I8" t="s">
        <v>357</v>
      </c>
    </row>
    <row r="9" spans="1:11" x14ac:dyDescent="0.25">
      <c r="B9" s="156" t="s">
        <v>360</v>
      </c>
      <c r="C9" s="173">
        <v>92000</v>
      </c>
      <c r="D9" s="155">
        <f>C9/1000000</f>
        <v>9.1999999999999998E-2</v>
      </c>
      <c r="E9" s="176">
        <v>0.13780000000000001</v>
      </c>
      <c r="F9" s="176">
        <v>0.21879999999999999</v>
      </c>
      <c r="G9" s="181">
        <f>271287/1000000</f>
        <v>0.271287</v>
      </c>
      <c r="H9" s="183">
        <v>0</v>
      </c>
    </row>
    <row r="10" spans="1:11" ht="15.75" thickBot="1" x14ac:dyDescent="0.3">
      <c r="B10" s="157" t="s">
        <v>361</v>
      </c>
      <c r="C10" s="175">
        <f>C8+C9</f>
        <v>1991996</v>
      </c>
      <c r="D10" s="158">
        <f>C10/1000000</f>
        <v>1.9919960000000001</v>
      </c>
      <c r="E10" s="162">
        <f>SUM(E8:E9)</f>
        <v>2.0377960000000002</v>
      </c>
      <c r="F10" s="162">
        <f>SUM(F8:F9)</f>
        <v>2.1187960000000001</v>
      </c>
      <c r="G10" s="162">
        <f>SUM(G8:G9)</f>
        <v>2.1712889999999998</v>
      </c>
      <c r="H10" s="159">
        <f>SUM(H8:H9)</f>
        <v>1.8909990000000001</v>
      </c>
      <c r="I10" s="172"/>
    </row>
    <row r="11" spans="1:11" x14ac:dyDescent="0.25">
      <c r="B11" s="154"/>
      <c r="H11" s="238"/>
    </row>
    <row r="12" spans="1:11" x14ac:dyDescent="0.25">
      <c r="C12" s="185" t="s">
        <v>380</v>
      </c>
      <c r="D12" s="172">
        <f>'Baseline Workings'!C40-'Option 2 Workings'!D10</f>
        <v>0.8252241299994687</v>
      </c>
      <c r="E12" s="172">
        <f>'Baseline Workings'!D40-'Option 2 Workings'!E10</f>
        <v>1.4500163433326283</v>
      </c>
      <c r="F12" s="172">
        <f>'Baseline Workings'!E40-'Option 2 Workings'!F10</f>
        <v>2.0002925433349961</v>
      </c>
      <c r="G12" s="172">
        <f>'Baseline Workings'!F40-'Option 2 Workings'!G10</f>
        <v>1.5902261766658081</v>
      </c>
      <c r="H12" s="172">
        <f>'Baseline Workings'!G40-'Option 2 Workings'!H10</f>
        <v>2.2771318851515181</v>
      </c>
      <c r="I12" s="148"/>
      <c r="J12" s="148"/>
      <c r="K12" s="148"/>
    </row>
    <row r="13" spans="1:11" x14ac:dyDescent="0.25">
      <c r="D13" s="172"/>
      <c r="E13" s="172"/>
      <c r="F13" s="172"/>
    </row>
    <row r="14" spans="1:11" ht="15.75" thickBot="1" x14ac:dyDescent="0.3">
      <c r="B14" t="s">
        <v>355</v>
      </c>
      <c r="H14" s="240"/>
    </row>
    <row r="15" spans="1:11" x14ac:dyDescent="0.25">
      <c r="B15" s="227" t="s">
        <v>376</v>
      </c>
      <c r="C15" s="228"/>
      <c r="D15" s="229"/>
    </row>
    <row r="16" spans="1:11" x14ac:dyDescent="0.25">
      <c r="B16" s="230"/>
      <c r="C16" s="231"/>
      <c r="D16" s="232"/>
    </row>
    <row r="17" spans="2:4" x14ac:dyDescent="0.25">
      <c r="B17" s="230"/>
      <c r="C17" s="231"/>
      <c r="D17" s="232"/>
    </row>
    <row r="18" spans="2:4" x14ac:dyDescent="0.25">
      <c r="B18" s="230"/>
      <c r="C18" s="231"/>
      <c r="D18" s="232"/>
    </row>
    <row r="19" spans="2:4" x14ac:dyDescent="0.25">
      <c r="B19" s="230"/>
      <c r="C19" s="231"/>
      <c r="D19" s="232"/>
    </row>
    <row r="20" spans="2:4" x14ac:dyDescent="0.25">
      <c r="B20" s="230"/>
      <c r="C20" s="231"/>
      <c r="D20" s="232"/>
    </row>
    <row r="21" spans="2:4" x14ac:dyDescent="0.25">
      <c r="B21" s="230"/>
      <c r="C21" s="231"/>
      <c r="D21" s="232"/>
    </row>
    <row r="22" spans="2:4" x14ac:dyDescent="0.25">
      <c r="B22" s="230"/>
      <c r="C22" s="231"/>
      <c r="D22" s="232"/>
    </row>
    <row r="23" spans="2:4" x14ac:dyDescent="0.25">
      <c r="B23" s="230"/>
      <c r="C23" s="231"/>
      <c r="D23" s="232"/>
    </row>
    <row r="24" spans="2:4" ht="15.75" thickBot="1" x14ac:dyDescent="0.3">
      <c r="B24" s="233"/>
      <c r="C24" s="234"/>
      <c r="D24" s="235"/>
    </row>
  </sheetData>
  <mergeCells count="1">
    <mergeCell ref="B15:D24"/>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59107C5-B401-4A16-BB12-3D243B9D13F0}">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efb98dbe-6680-48eb-ac67-85b3a61e7855"/>
    <ds:schemaRef ds:uri="http://schemas.microsoft.com/sharepoint/v3/fields"/>
    <ds:schemaRef ds:uri="eecedeb9-13b3-4e62-b003-046c92e1668a"/>
    <ds:schemaRef ds:uri="http://www.w3.org/XML/1998/namespace"/>
  </ds:schemaRefs>
</ds:datastoreItem>
</file>

<file path=customXml/itemProps4.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Baseline Workings</vt:lpstr>
      <vt:lpstr>Option 1 (Baseline)</vt:lpstr>
      <vt:lpstr>Option 2</vt:lpstr>
      <vt:lpstr>Option 2 Workings</vt:lpstr>
      <vt:lpstr>'Option 1 (Baseline)'!Print_Area</vt:lpstr>
      <vt:lpstr>'Option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2020-07-14T13:52:31Z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