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Live Line Harvester\"/>
    </mc:Choice>
  </mc:AlternateContent>
  <xr:revisionPtr revIDLastSave="0" documentId="13_ncr:1_{F0A09372-46CA-4B00-887E-8D70B6A1239A}" xr6:coauthVersionLast="41" xr6:coauthVersionMax="41" xr10:uidLastSave="{00000000-0000-0000-0000-000000000000}"/>
  <bookViews>
    <workbookView xWindow="-120" yWindow="-120" windowWidth="25440" windowHeight="15390" tabRatio="839" firstSheet="7" activeTab="8" xr2:uid="{00000000-000D-0000-FFFF-FFFF00000000}"/>
  </bookViews>
  <sheets>
    <sheet name="version control" sheetId="30" r:id="rId1"/>
    <sheet name="Guidance" sheetId="28" r:id="rId2"/>
    <sheet name="Option summary" sheetId="29" r:id="rId3"/>
    <sheet name="Fixed data" sheetId="20" r:id="rId4"/>
    <sheet name="Workings baseline 2015.16" sheetId="27" r:id="rId5"/>
    <sheet name="Workings baseline 2016.17" sheetId="40" r:id="rId6"/>
    <sheet name="Workings baseline 2017.18" sheetId="43" r:id="rId7"/>
    <sheet name="Working baseline 2018.19" sheetId="45" r:id="rId8"/>
    <sheet name="Working baseline 2019.20" sheetId="46" r:id="rId9"/>
    <sheet name="Option 1 (Baseline)" sheetId="33" r:id="rId10"/>
    <sheet name="Option 2" sheetId="34" r:id="rId11"/>
    <sheet name="Workings template 2015.16" sheetId="32" r:id="rId12"/>
    <sheet name="Workings template 2016.17" sheetId="41" r:id="rId13"/>
    <sheet name="Workings template 2017.18" sheetId="42" r:id="rId14"/>
    <sheet name="Working template 2018.19" sheetId="44" r:id="rId15"/>
    <sheet name="Working template 2019.20" sheetId="47" r:id="rId16"/>
  </sheets>
  <externalReferences>
    <externalReference r:id="rId17"/>
    <externalReference r:id="rId18"/>
    <externalReference r:id="rId19"/>
    <externalReference r:id="rId20"/>
  </externalReferences>
  <definedNames>
    <definedName name="_xlnm.Print_Area" localSheetId="9">'Option 1 (Baseline)'!$A$1:$AB$104</definedName>
    <definedName name="_xlnm.Print_Area" localSheetId="10">'Option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9" i="46" l="1"/>
  <c r="E89" i="46"/>
  <c r="D88" i="47"/>
  <c r="E88" i="47"/>
  <c r="Y8" i="27" l="1"/>
  <c r="P50" i="27"/>
  <c r="D91" i="47" l="1"/>
  <c r="I90" i="34" l="1"/>
  <c r="I13" i="34"/>
  <c r="D87" i="47"/>
  <c r="E87" i="47" s="1"/>
  <c r="E77" i="47"/>
  <c r="E78" i="47" s="1"/>
  <c r="K63" i="47"/>
  <c r="I63" i="47"/>
  <c r="K66" i="47" s="1"/>
  <c r="H63" i="47"/>
  <c r="AI60" i="47"/>
  <c r="AD60" i="47"/>
  <c r="AC60" i="47"/>
  <c r="AJ60" i="47" s="1"/>
  <c r="R60" i="47"/>
  <c r="Q60" i="47"/>
  <c r="P60" i="47"/>
  <c r="O60" i="47"/>
  <c r="N60" i="47"/>
  <c r="M60" i="47"/>
  <c r="AI59" i="47"/>
  <c r="AD59" i="47"/>
  <c r="AC59" i="47"/>
  <c r="R59" i="47"/>
  <c r="Q59" i="47"/>
  <c r="P59" i="47"/>
  <c r="O59" i="47"/>
  <c r="N59" i="47"/>
  <c r="M59" i="47"/>
  <c r="AI58" i="47"/>
  <c r="AD58" i="47"/>
  <c r="AC58" i="47"/>
  <c r="AF58" i="47" s="1"/>
  <c r="AM58" i="47" s="1"/>
  <c r="R58" i="47"/>
  <c r="Q58" i="47"/>
  <c r="P58" i="47"/>
  <c r="O58" i="47"/>
  <c r="N58" i="47"/>
  <c r="U58" i="47" s="1"/>
  <c r="M58" i="47"/>
  <c r="AI57" i="47"/>
  <c r="AD57" i="47"/>
  <c r="AC57" i="47"/>
  <c r="AJ57" i="47" s="1"/>
  <c r="R57" i="47"/>
  <c r="Q57" i="47"/>
  <c r="P57" i="47"/>
  <c r="O57" i="47"/>
  <c r="N57" i="47"/>
  <c r="U57" i="47" s="1"/>
  <c r="X57" i="47" s="1"/>
  <c r="M57" i="47"/>
  <c r="V57" i="47" s="1"/>
  <c r="AI56" i="47"/>
  <c r="AD56" i="47"/>
  <c r="AC56" i="47"/>
  <c r="AF56" i="47" s="1"/>
  <c r="R56" i="47"/>
  <c r="Q56" i="47"/>
  <c r="P56" i="47"/>
  <c r="O56" i="47"/>
  <c r="N56" i="47"/>
  <c r="U56" i="47" s="1"/>
  <c r="M56" i="47"/>
  <c r="L56" i="47"/>
  <c r="J56" i="47"/>
  <c r="AI55" i="47"/>
  <c r="AJ55" i="47" s="1"/>
  <c r="AH55" i="47"/>
  <c r="AL55" i="47" s="1"/>
  <c r="AF55" i="47"/>
  <c r="AM55" i="47" s="1"/>
  <c r="AE55" i="47"/>
  <c r="AG55" i="47" s="1"/>
  <c r="AN55" i="47" s="1"/>
  <c r="Z55" i="47"/>
  <c r="Y55" i="47"/>
  <c r="AA55" i="47" s="1"/>
  <c r="X55" i="47"/>
  <c r="W55" i="47"/>
  <c r="V55" i="47"/>
  <c r="U55" i="47"/>
  <c r="AK54" i="47"/>
  <c r="AI54" i="47"/>
  <c r="AJ54" i="47" s="1"/>
  <c r="AF54" i="47"/>
  <c r="AE54" i="47"/>
  <c r="AG54" i="47" s="1"/>
  <c r="AN54" i="47" s="1"/>
  <c r="V54" i="47"/>
  <c r="U54" i="47"/>
  <c r="AI53" i="47"/>
  <c r="AJ53" i="47" s="1"/>
  <c r="AG53" i="47"/>
  <c r="AH53" i="47" s="1"/>
  <c r="AL53" i="47" s="1"/>
  <c r="AF53" i="47"/>
  <c r="AM53" i="47" s="1"/>
  <c r="AE53" i="47"/>
  <c r="AK53" i="47" s="1"/>
  <c r="Z53" i="47"/>
  <c r="Y53" i="47"/>
  <c r="AA53" i="47" s="1"/>
  <c r="X53" i="47"/>
  <c r="W53" i="47"/>
  <c r="V53" i="47"/>
  <c r="U53" i="47"/>
  <c r="AI52" i="47"/>
  <c r="AD52" i="47"/>
  <c r="AC52" i="47"/>
  <c r="R52" i="47"/>
  <c r="Q52" i="47"/>
  <c r="P52" i="47"/>
  <c r="O52" i="47"/>
  <c r="N52" i="47"/>
  <c r="U52" i="47" s="1"/>
  <c r="M52" i="47"/>
  <c r="AI51" i="47"/>
  <c r="AF51" i="47"/>
  <c r="AM51" i="47" s="1"/>
  <c r="AD51" i="47"/>
  <c r="AC51" i="47"/>
  <c r="AJ51" i="47" s="1"/>
  <c r="R51" i="47"/>
  <c r="Q51" i="47"/>
  <c r="P51" i="47"/>
  <c r="O51" i="47"/>
  <c r="N51" i="47"/>
  <c r="U51" i="47" s="1"/>
  <c r="M51" i="47"/>
  <c r="L51" i="47"/>
  <c r="J51" i="47"/>
  <c r="AJ50" i="47"/>
  <c r="AI50" i="47"/>
  <c r="AG50" i="47"/>
  <c r="AN50" i="47" s="1"/>
  <c r="AF50" i="47"/>
  <c r="AH50" i="47" s="1"/>
  <c r="AL50" i="47" s="1"/>
  <c r="AE50" i="47"/>
  <c r="AK50" i="47" s="1"/>
  <c r="X50" i="47"/>
  <c r="W50" i="47"/>
  <c r="V50" i="47"/>
  <c r="U50" i="47"/>
  <c r="Z50" i="47" s="1"/>
  <c r="AI49" i="47"/>
  <c r="AD49" i="47"/>
  <c r="AC49" i="47"/>
  <c r="AF49" i="47" s="1"/>
  <c r="R49" i="47"/>
  <c r="Q49" i="47"/>
  <c r="P49" i="47"/>
  <c r="O49" i="47"/>
  <c r="N49" i="47"/>
  <c r="U49" i="47" s="1"/>
  <c r="M49" i="47"/>
  <c r="AI48" i="47"/>
  <c r="AD48" i="47"/>
  <c r="AC48" i="47"/>
  <c r="AJ48" i="47" s="1"/>
  <c r="R48" i="47"/>
  <c r="Q48" i="47"/>
  <c r="P48" i="47"/>
  <c r="O48" i="47"/>
  <c r="N48" i="47"/>
  <c r="U48" i="47" s="1"/>
  <c r="M48" i="47"/>
  <c r="AJ47" i="47"/>
  <c r="AI47" i="47"/>
  <c r="AD47" i="47"/>
  <c r="AC47" i="47"/>
  <c r="R47" i="47"/>
  <c r="Q47" i="47"/>
  <c r="P47" i="47"/>
  <c r="O47" i="47"/>
  <c r="N47" i="47"/>
  <c r="U47" i="47" s="1"/>
  <c r="M47" i="47"/>
  <c r="L47" i="47"/>
  <c r="J47" i="47"/>
  <c r="AJ46" i="47"/>
  <c r="AI46" i="47"/>
  <c r="AH46" i="47"/>
  <c r="AL46" i="47" s="1"/>
  <c r="AG46" i="47"/>
  <c r="AF46" i="47"/>
  <c r="AM46" i="47" s="1"/>
  <c r="AE46" i="47"/>
  <c r="AK46" i="47" s="1"/>
  <c r="Z46" i="47"/>
  <c r="AA46" i="47" s="1"/>
  <c r="Y46" i="47"/>
  <c r="X46" i="47"/>
  <c r="V46" i="47"/>
  <c r="U46" i="47"/>
  <c r="W46" i="47" s="1"/>
  <c r="AM45" i="47"/>
  <c r="AJ45" i="47"/>
  <c r="AI45" i="47"/>
  <c r="AF45" i="47"/>
  <c r="AE45" i="47"/>
  <c r="AM44" i="47"/>
  <c r="AJ44" i="47"/>
  <c r="AI44" i="47"/>
  <c r="AF44" i="47"/>
  <c r="AE44" i="47"/>
  <c r="R44" i="47"/>
  <c r="Q44" i="47"/>
  <c r="P44" i="47"/>
  <c r="O44" i="47"/>
  <c r="N44" i="47"/>
  <c r="U44" i="47" s="1"/>
  <c r="V44" i="47" s="1"/>
  <c r="M44" i="47"/>
  <c r="AI43" i="47"/>
  <c r="AD43" i="47"/>
  <c r="AC43" i="47"/>
  <c r="AJ43" i="47" s="1"/>
  <c r="R43" i="47"/>
  <c r="Q43" i="47"/>
  <c r="P43" i="47"/>
  <c r="O43" i="47"/>
  <c r="N43" i="47"/>
  <c r="U43" i="47" s="1"/>
  <c r="M43" i="47"/>
  <c r="L43" i="47"/>
  <c r="J43" i="47"/>
  <c r="AN42" i="47"/>
  <c r="AM42" i="47"/>
  <c r="AI42" i="47"/>
  <c r="AJ42" i="47" s="1"/>
  <c r="AG42" i="47"/>
  <c r="AF42" i="47"/>
  <c r="AE42" i="47"/>
  <c r="AK42" i="47" s="1"/>
  <c r="X42" i="47"/>
  <c r="W42" i="47"/>
  <c r="V42" i="47"/>
  <c r="U42" i="47"/>
  <c r="Z42" i="47" s="1"/>
  <c r="AI41" i="47"/>
  <c r="AJ41" i="47" s="1"/>
  <c r="AH41" i="47"/>
  <c r="AL41" i="47" s="1"/>
  <c r="AG41" i="47"/>
  <c r="AF41" i="47"/>
  <c r="AE41" i="47"/>
  <c r="Z41" i="47"/>
  <c r="Y41" i="47"/>
  <c r="AA41" i="47" s="1"/>
  <c r="X41" i="47"/>
  <c r="W41" i="47"/>
  <c r="V41" i="47"/>
  <c r="U41" i="47"/>
  <c r="AI40" i="47"/>
  <c r="AD40" i="47"/>
  <c r="AE40" i="47" s="1"/>
  <c r="AC40" i="47"/>
  <c r="AJ40" i="47" s="1"/>
  <c r="R40" i="47"/>
  <c r="Q40" i="47"/>
  <c r="P40" i="47"/>
  <c r="O40" i="47"/>
  <c r="N40" i="47"/>
  <c r="U40" i="47" s="1"/>
  <c r="V40" i="47" s="1"/>
  <c r="M40" i="47"/>
  <c r="AI39" i="47"/>
  <c r="AD39" i="47"/>
  <c r="AC39" i="47"/>
  <c r="AJ39" i="47" s="1"/>
  <c r="R39" i="47"/>
  <c r="Q39" i="47"/>
  <c r="P39" i="47"/>
  <c r="O39" i="47"/>
  <c r="N39" i="47"/>
  <c r="U39" i="47" s="1"/>
  <c r="M39" i="47"/>
  <c r="AI38" i="47"/>
  <c r="AD38" i="47"/>
  <c r="AC38" i="47"/>
  <c r="AJ38" i="47" s="1"/>
  <c r="R38" i="47"/>
  <c r="Q38" i="47"/>
  <c r="P38" i="47"/>
  <c r="O38" i="47"/>
  <c r="N38" i="47"/>
  <c r="U38" i="47" s="1"/>
  <c r="M38" i="47"/>
  <c r="L38" i="47"/>
  <c r="J38" i="47"/>
  <c r="AM37" i="47"/>
  <c r="AJ37" i="47"/>
  <c r="AI37" i="47"/>
  <c r="AF37" i="47"/>
  <c r="AE37" i="47"/>
  <c r="AG37" i="47" s="1"/>
  <c r="AN37" i="47" s="1"/>
  <c r="W37" i="47"/>
  <c r="V37" i="47"/>
  <c r="U37" i="47"/>
  <c r="AN36" i="47"/>
  <c r="AI36" i="47"/>
  <c r="AJ36" i="47" s="1"/>
  <c r="AG36" i="47"/>
  <c r="AF36" i="47"/>
  <c r="AM36" i="47" s="1"/>
  <c r="AE36" i="47"/>
  <c r="AK36" i="47" s="1"/>
  <c r="Z36" i="47"/>
  <c r="Y36" i="47"/>
  <c r="X36" i="47"/>
  <c r="W36" i="47"/>
  <c r="V36" i="47"/>
  <c r="U36" i="47"/>
  <c r="AI35" i="47"/>
  <c r="AD35" i="47"/>
  <c r="AE35" i="47" s="1"/>
  <c r="AC35" i="47"/>
  <c r="AF35" i="47" s="1"/>
  <c r="R35" i="47"/>
  <c r="Q35" i="47"/>
  <c r="P35" i="47"/>
  <c r="T35" i="47" s="1"/>
  <c r="O35" i="47"/>
  <c r="N35" i="47"/>
  <c r="U35" i="47" s="1"/>
  <c r="M35" i="47"/>
  <c r="AI34" i="47"/>
  <c r="AD34" i="47"/>
  <c r="AC34" i="47"/>
  <c r="AF34" i="47" s="1"/>
  <c r="AM34" i="47" s="1"/>
  <c r="R34" i="47"/>
  <c r="Q34" i="47"/>
  <c r="P34" i="47"/>
  <c r="O34" i="47"/>
  <c r="N34" i="47"/>
  <c r="U34" i="47" s="1"/>
  <c r="M34" i="47"/>
  <c r="L34" i="47"/>
  <c r="J34" i="47"/>
  <c r="AN33" i="47"/>
  <c r="AI33" i="47"/>
  <c r="AJ33" i="47" s="1"/>
  <c r="AG33" i="47"/>
  <c r="AH33" i="47" s="1"/>
  <c r="AL33" i="47" s="1"/>
  <c r="AF33" i="47"/>
  <c r="AM33" i="47" s="1"/>
  <c r="AE33" i="47"/>
  <c r="AK33" i="47" s="1"/>
  <c r="Z33" i="47"/>
  <c r="Y33" i="47"/>
  <c r="AA33" i="47" s="1"/>
  <c r="X33" i="47"/>
  <c r="W33" i="47"/>
  <c r="V33" i="47"/>
  <c r="U33" i="47"/>
  <c r="AJ32" i="47"/>
  <c r="AI32" i="47"/>
  <c r="AF32" i="47"/>
  <c r="AM32" i="47" s="1"/>
  <c r="AE32" i="47"/>
  <c r="AG32" i="47" s="1"/>
  <c r="V32" i="47"/>
  <c r="U32" i="47"/>
  <c r="Z32" i="47" s="1"/>
  <c r="AK31" i="47"/>
  <c r="AI31" i="47"/>
  <c r="AJ31" i="47" s="1"/>
  <c r="AG31" i="47"/>
  <c r="AN31" i="47" s="1"/>
  <c r="AF31" i="47"/>
  <c r="AH31" i="47" s="1"/>
  <c r="AL31" i="47" s="1"/>
  <c r="AE31" i="47"/>
  <c r="Y31" i="47"/>
  <c r="X31" i="47"/>
  <c r="W31" i="47"/>
  <c r="V31" i="47"/>
  <c r="U31" i="47"/>
  <c r="Z31" i="47" s="1"/>
  <c r="L31" i="47"/>
  <c r="J31" i="47"/>
  <c r="AK30" i="47"/>
  <c r="AJ30" i="47"/>
  <c r="AI30" i="47"/>
  <c r="AF30" i="47"/>
  <c r="AH30" i="47" s="1"/>
  <c r="AL30" i="47" s="1"/>
  <c r="AE30" i="47"/>
  <c r="AG30" i="47" s="1"/>
  <c r="AN30" i="47" s="1"/>
  <c r="V30" i="47"/>
  <c r="U30" i="47"/>
  <c r="AN29" i="47"/>
  <c r="AI29" i="47"/>
  <c r="AJ29" i="47" s="1"/>
  <c r="AG29" i="47"/>
  <c r="AH29" i="47" s="1"/>
  <c r="AL29" i="47" s="1"/>
  <c r="AF29" i="47"/>
  <c r="AM29" i="47" s="1"/>
  <c r="AE29" i="47"/>
  <c r="AK29" i="47" s="1"/>
  <c r="Z29" i="47"/>
  <c r="Y29" i="47"/>
  <c r="AA29" i="47" s="1"/>
  <c r="X29" i="47"/>
  <c r="W29" i="47"/>
  <c r="V29" i="47"/>
  <c r="U29" i="47"/>
  <c r="AJ28" i="47"/>
  <c r="AI28" i="47"/>
  <c r="AF28" i="47"/>
  <c r="AM28" i="47" s="1"/>
  <c r="AE28" i="47"/>
  <c r="AG28" i="47" s="1"/>
  <c r="V28" i="47"/>
  <c r="U28" i="47"/>
  <c r="Z28" i="47" s="1"/>
  <c r="L28" i="47"/>
  <c r="J28" i="47"/>
  <c r="AJ27" i="47"/>
  <c r="AI27" i="47"/>
  <c r="AK27" i="47" s="1"/>
  <c r="AH27" i="47"/>
  <c r="AL27" i="47" s="1"/>
  <c r="AG27" i="47"/>
  <c r="AN27" i="47" s="1"/>
  <c r="AF27" i="47"/>
  <c r="AM27" i="47" s="1"/>
  <c r="AE27" i="47"/>
  <c r="Z27" i="47"/>
  <c r="Y27" i="47"/>
  <c r="AA27" i="47" s="1"/>
  <c r="X27" i="47"/>
  <c r="W27" i="47"/>
  <c r="V27" i="47"/>
  <c r="U27" i="47"/>
  <c r="AK26" i="47"/>
  <c r="AJ26" i="47"/>
  <c r="AI26" i="47"/>
  <c r="AF26" i="47"/>
  <c r="AH26" i="47" s="1"/>
  <c r="AL26" i="47" s="1"/>
  <c r="AE26" i="47"/>
  <c r="AG26" i="47" s="1"/>
  <c r="AN26" i="47" s="1"/>
  <c r="W26" i="47"/>
  <c r="V26" i="47"/>
  <c r="U26" i="47"/>
  <c r="AN25" i="47"/>
  <c r="AI25" i="47"/>
  <c r="AJ25" i="47" s="1"/>
  <c r="AH25" i="47"/>
  <c r="AL25" i="47" s="1"/>
  <c r="AG25" i="47"/>
  <c r="AF25" i="47"/>
  <c r="AM25" i="47" s="1"/>
  <c r="AE25" i="47"/>
  <c r="AK25" i="47" s="1"/>
  <c r="Z25" i="47"/>
  <c r="Y25" i="47"/>
  <c r="X25" i="47"/>
  <c r="W25" i="47"/>
  <c r="V25" i="47"/>
  <c r="U25" i="47"/>
  <c r="L25" i="47"/>
  <c r="J25" i="47"/>
  <c r="AM24" i="47"/>
  <c r="AJ24" i="47"/>
  <c r="AI24" i="47"/>
  <c r="AG24" i="47"/>
  <c r="AN24" i="47" s="1"/>
  <c r="AF24" i="47"/>
  <c r="AE24" i="47"/>
  <c r="AK24" i="47" s="1"/>
  <c r="W24" i="47"/>
  <c r="V24" i="47"/>
  <c r="U24" i="47"/>
  <c r="AJ23" i="47"/>
  <c r="AI23" i="47"/>
  <c r="AK23" i="47" s="1"/>
  <c r="AH23" i="47"/>
  <c r="AL23" i="47" s="1"/>
  <c r="AG23" i="47"/>
  <c r="AN23" i="47" s="1"/>
  <c r="AF23" i="47"/>
  <c r="AE23" i="47"/>
  <c r="R23" i="47"/>
  <c r="Q23" i="47"/>
  <c r="P23" i="47"/>
  <c r="O23" i="47"/>
  <c r="N23" i="47"/>
  <c r="U23" i="47" s="1"/>
  <c r="M23" i="47"/>
  <c r="Z23" i="47" s="1"/>
  <c r="AJ22" i="47"/>
  <c r="AI22" i="47"/>
  <c r="AF22" i="47"/>
  <c r="AE22" i="47"/>
  <c r="AG22" i="47" s="1"/>
  <c r="R22" i="47"/>
  <c r="Q22" i="47"/>
  <c r="P22" i="47"/>
  <c r="O22" i="47"/>
  <c r="N22" i="47"/>
  <c r="U22" i="47" s="1"/>
  <c r="M22" i="47"/>
  <c r="L22" i="47"/>
  <c r="J22" i="47"/>
  <c r="AN21" i="47"/>
  <c r="AI21" i="47"/>
  <c r="AJ21" i="47" s="1"/>
  <c r="AH21" i="47"/>
  <c r="AL21" i="47" s="1"/>
  <c r="AG21" i="47"/>
  <c r="AF21" i="47"/>
  <c r="AM21" i="47" s="1"/>
  <c r="AE21" i="47"/>
  <c r="AK21" i="47" s="1"/>
  <c r="W21" i="47"/>
  <c r="R21" i="47"/>
  <c r="Q21" i="47"/>
  <c r="P21" i="47"/>
  <c r="T21" i="47" s="1"/>
  <c r="O21" i="47"/>
  <c r="S21" i="47" s="1"/>
  <c r="N21" i="47"/>
  <c r="U21" i="47" s="1"/>
  <c r="M21" i="47"/>
  <c r="Y21" i="47" s="1"/>
  <c r="AI20" i="47"/>
  <c r="AD20" i="47"/>
  <c r="AC20" i="47"/>
  <c r="AJ20" i="47" s="1"/>
  <c r="R20" i="47"/>
  <c r="Q20" i="47"/>
  <c r="P20" i="47"/>
  <c r="T20" i="47" s="1"/>
  <c r="O20" i="47"/>
  <c r="S20" i="47" s="1"/>
  <c r="N20" i="47"/>
  <c r="U20" i="47" s="1"/>
  <c r="M20" i="47"/>
  <c r="AI19" i="47"/>
  <c r="AD19" i="47"/>
  <c r="AC19" i="47"/>
  <c r="AJ19" i="47" s="1"/>
  <c r="R19" i="47"/>
  <c r="Q19" i="47"/>
  <c r="P19" i="47"/>
  <c r="T19" i="47" s="1"/>
  <c r="O19" i="47"/>
  <c r="N19" i="47"/>
  <c r="U19" i="47" s="1"/>
  <c r="M19" i="47"/>
  <c r="AK18" i="47"/>
  <c r="AI18" i="47"/>
  <c r="AJ18" i="47" s="1"/>
  <c r="AF18" i="47"/>
  <c r="AE18" i="47"/>
  <c r="AG18" i="47" s="1"/>
  <c r="AN18" i="47" s="1"/>
  <c r="AA18" i="47"/>
  <c r="Z18" i="47"/>
  <c r="Y18" i="47"/>
  <c r="V18" i="47"/>
  <c r="U18" i="47"/>
  <c r="T18" i="47"/>
  <c r="L18" i="47"/>
  <c r="J18" i="47"/>
  <c r="AN17" i="47"/>
  <c r="AI17" i="47"/>
  <c r="AJ17" i="47" s="1"/>
  <c r="AG17" i="47"/>
  <c r="AF17" i="47"/>
  <c r="AM17" i="47" s="1"/>
  <c r="AE17" i="47"/>
  <c r="AA17" i="47"/>
  <c r="Z17" i="47"/>
  <c r="Y17" i="47"/>
  <c r="X17" i="47"/>
  <c r="W17" i="47"/>
  <c r="V17" i="47"/>
  <c r="U17" i="47"/>
  <c r="T17" i="47"/>
  <c r="AJ16" i="47"/>
  <c r="AI16" i="47"/>
  <c r="AK16" i="47" s="1"/>
  <c r="AF16" i="47"/>
  <c r="AM16" i="47" s="1"/>
  <c r="AE16" i="47"/>
  <c r="AG16" i="47" s="1"/>
  <c r="Z16" i="47"/>
  <c r="Y16" i="47"/>
  <c r="AA16" i="47" s="1"/>
  <c r="W16" i="47"/>
  <c r="V16" i="47"/>
  <c r="U16" i="47"/>
  <c r="X16" i="47" s="1"/>
  <c r="T16" i="47"/>
  <c r="AI15" i="47"/>
  <c r="AD15" i="47"/>
  <c r="AC15" i="47"/>
  <c r="AF15" i="47" s="1"/>
  <c r="AM15" i="47" s="1"/>
  <c r="R15" i="47"/>
  <c r="Q15" i="47"/>
  <c r="P15" i="47"/>
  <c r="T15" i="47" s="1"/>
  <c r="O15" i="47"/>
  <c r="N15" i="47"/>
  <c r="U15" i="47" s="1"/>
  <c r="M15" i="47"/>
  <c r="AI14" i="47"/>
  <c r="AD14" i="47"/>
  <c r="AC14" i="47"/>
  <c r="R14" i="47"/>
  <c r="Q14" i="47"/>
  <c r="P14" i="47"/>
  <c r="T14" i="47" s="1"/>
  <c r="O14" i="47"/>
  <c r="N14" i="47"/>
  <c r="M14" i="47"/>
  <c r="L14" i="47"/>
  <c r="J14" i="47"/>
  <c r="Q4" i="47"/>
  <c r="T39" i="47" s="1"/>
  <c r="Q3" i="47"/>
  <c r="E87" i="45"/>
  <c r="AI63" i="46"/>
  <c r="L63" i="46"/>
  <c r="K63" i="46"/>
  <c r="J63" i="46"/>
  <c r="I63" i="46"/>
  <c r="H63" i="46"/>
  <c r="AI59" i="46"/>
  <c r="AI60" i="46"/>
  <c r="AC15" i="46"/>
  <c r="AF15" i="46" s="1"/>
  <c r="AD15" i="46"/>
  <c r="AF18" i="46"/>
  <c r="AC19" i="46"/>
  <c r="AF19" i="46" s="1"/>
  <c r="AD19" i="46"/>
  <c r="AC20" i="46"/>
  <c r="AD20" i="46"/>
  <c r="AF25" i="46"/>
  <c r="AM25" i="46" s="1"/>
  <c r="AE32" i="46"/>
  <c r="AG32" i="46" s="1"/>
  <c r="AN32" i="46" s="1"/>
  <c r="AC34" i="46"/>
  <c r="AF34" i="46" s="1"/>
  <c r="AD34" i="46"/>
  <c r="AC35" i="46"/>
  <c r="AD35" i="46"/>
  <c r="AE35" i="46" s="1"/>
  <c r="AC38" i="46"/>
  <c r="AJ38" i="46" s="1"/>
  <c r="AD38" i="46"/>
  <c r="AC39" i="46"/>
  <c r="AJ39" i="46" s="1"/>
  <c r="AD39" i="46"/>
  <c r="AC40" i="46"/>
  <c r="AJ40" i="46" s="1"/>
  <c r="AD40" i="46"/>
  <c r="AE42" i="46"/>
  <c r="AC43" i="46"/>
  <c r="AF43" i="46" s="1"/>
  <c r="AD43" i="46"/>
  <c r="AE43" i="46" s="1"/>
  <c r="AC47" i="46"/>
  <c r="AD47" i="46"/>
  <c r="AC48" i="46"/>
  <c r="AF48" i="46" s="1"/>
  <c r="AD48" i="46"/>
  <c r="AC49" i="46"/>
  <c r="AD49" i="46"/>
  <c r="AC51" i="46"/>
  <c r="AF51" i="46" s="1"/>
  <c r="AD51" i="46"/>
  <c r="AC52" i="46"/>
  <c r="AJ52" i="46" s="1"/>
  <c r="AD52" i="46"/>
  <c r="AJ53" i="46"/>
  <c r="AC56" i="46"/>
  <c r="AD56" i="46"/>
  <c r="AC57" i="46"/>
  <c r="AF57" i="46" s="1"/>
  <c r="AD57" i="46"/>
  <c r="AC58" i="46"/>
  <c r="AF58" i="46" s="1"/>
  <c r="AD58" i="46"/>
  <c r="AC59" i="46"/>
  <c r="AF59" i="46" s="1"/>
  <c r="AD59" i="46"/>
  <c r="AC60" i="46"/>
  <c r="AF60" i="46" s="1"/>
  <c r="AD60" i="46"/>
  <c r="AE60" i="46" s="1"/>
  <c r="AD14" i="46"/>
  <c r="AC14" i="46"/>
  <c r="AJ14" i="46" s="1"/>
  <c r="U18" i="46"/>
  <c r="M19" i="46"/>
  <c r="N19" i="46"/>
  <c r="O19" i="46"/>
  <c r="S19" i="46" s="1"/>
  <c r="P19" i="46"/>
  <c r="T19" i="46" s="1"/>
  <c r="Q19" i="46"/>
  <c r="R19" i="46"/>
  <c r="M20" i="46"/>
  <c r="N20" i="46"/>
  <c r="U20" i="46" s="1"/>
  <c r="O20" i="46"/>
  <c r="P20" i="46"/>
  <c r="Q20" i="46"/>
  <c r="R20" i="46"/>
  <c r="M21" i="46"/>
  <c r="N21" i="46"/>
  <c r="O21" i="46"/>
  <c r="P21" i="46"/>
  <c r="Q21" i="46"/>
  <c r="R21" i="46"/>
  <c r="M22" i="46"/>
  <c r="N22" i="46"/>
  <c r="U22" i="46" s="1"/>
  <c r="Z22" i="46" s="1"/>
  <c r="O22" i="46"/>
  <c r="P22" i="46"/>
  <c r="Q22" i="46"/>
  <c r="R22" i="46"/>
  <c r="M23" i="46"/>
  <c r="V23" i="46" s="1"/>
  <c r="N23" i="46"/>
  <c r="O23" i="46"/>
  <c r="P23" i="46"/>
  <c r="Q23" i="46"/>
  <c r="R23" i="46"/>
  <c r="V25" i="46"/>
  <c r="U25" i="46"/>
  <c r="U26" i="46"/>
  <c r="W26" i="46" s="1"/>
  <c r="U27" i="46"/>
  <c r="Z27" i="46" s="1"/>
  <c r="S27" i="46"/>
  <c r="V31" i="46"/>
  <c r="V32" i="46"/>
  <c r="U32" i="46"/>
  <c r="U33" i="46"/>
  <c r="M34" i="46"/>
  <c r="V34" i="46" s="1"/>
  <c r="N34" i="46"/>
  <c r="U34" i="46" s="1"/>
  <c r="O34" i="46"/>
  <c r="P34" i="46"/>
  <c r="T34" i="46" s="1"/>
  <c r="Q34" i="46"/>
  <c r="R34" i="46"/>
  <c r="M35" i="46"/>
  <c r="N35" i="46"/>
  <c r="U35" i="46" s="1"/>
  <c r="O35" i="46"/>
  <c r="P35" i="46"/>
  <c r="Q35" i="46"/>
  <c r="R35" i="46"/>
  <c r="M38" i="46"/>
  <c r="N38" i="46"/>
  <c r="U38" i="46" s="1"/>
  <c r="X38" i="46" s="1"/>
  <c r="O38" i="46"/>
  <c r="P38" i="46"/>
  <c r="T38" i="46" s="1"/>
  <c r="Q38" i="46"/>
  <c r="R38" i="46"/>
  <c r="M39" i="46"/>
  <c r="V39" i="46" s="1"/>
  <c r="N39" i="46"/>
  <c r="U39" i="46" s="1"/>
  <c r="O39" i="46"/>
  <c r="S39" i="46" s="1"/>
  <c r="P39" i="46"/>
  <c r="Q39" i="46"/>
  <c r="R39" i="46"/>
  <c r="M40" i="46"/>
  <c r="W40" i="46" s="1"/>
  <c r="N40" i="46"/>
  <c r="U40" i="46" s="1"/>
  <c r="O40" i="46"/>
  <c r="S40" i="46" s="1"/>
  <c r="P40" i="46"/>
  <c r="Q40" i="46"/>
  <c r="R40" i="46"/>
  <c r="M43" i="46"/>
  <c r="N43" i="46"/>
  <c r="U43" i="46" s="1"/>
  <c r="O43" i="46"/>
  <c r="P43" i="46"/>
  <c r="Q43" i="46"/>
  <c r="R43" i="46"/>
  <c r="M44" i="46"/>
  <c r="N44" i="46"/>
  <c r="U44" i="46" s="1"/>
  <c r="O44" i="46"/>
  <c r="P44" i="46"/>
  <c r="Q44" i="46"/>
  <c r="R44" i="46"/>
  <c r="U46" i="46"/>
  <c r="M47" i="46"/>
  <c r="N47" i="46"/>
  <c r="U47" i="46" s="1"/>
  <c r="O47" i="46"/>
  <c r="P47" i="46"/>
  <c r="Q47" i="46"/>
  <c r="R47" i="46"/>
  <c r="M48" i="46"/>
  <c r="N48" i="46"/>
  <c r="U48" i="46" s="1"/>
  <c r="O48" i="46"/>
  <c r="P48" i="46"/>
  <c r="Q48" i="46"/>
  <c r="R48" i="46"/>
  <c r="M49" i="46"/>
  <c r="N49" i="46"/>
  <c r="O49" i="46"/>
  <c r="P49" i="46"/>
  <c r="Q49" i="46"/>
  <c r="R49" i="46"/>
  <c r="M51" i="46"/>
  <c r="N51" i="46"/>
  <c r="U51" i="46" s="1"/>
  <c r="O51" i="46"/>
  <c r="P51" i="46"/>
  <c r="Q51" i="46"/>
  <c r="R51" i="46"/>
  <c r="M52" i="46"/>
  <c r="N52" i="46"/>
  <c r="U52" i="46" s="1"/>
  <c r="O52" i="46"/>
  <c r="S52" i="46" s="1"/>
  <c r="P52" i="46"/>
  <c r="Q52" i="46"/>
  <c r="R52" i="46"/>
  <c r="U53" i="46"/>
  <c r="U54" i="46"/>
  <c r="Y54" i="46" s="1"/>
  <c r="U55" i="46"/>
  <c r="M56" i="46"/>
  <c r="N56" i="46"/>
  <c r="O56" i="46"/>
  <c r="P56" i="46"/>
  <c r="Q56" i="46"/>
  <c r="R56" i="46"/>
  <c r="M57" i="46"/>
  <c r="N57" i="46"/>
  <c r="U57" i="46" s="1"/>
  <c r="Z57" i="46" s="1"/>
  <c r="O57" i="46"/>
  <c r="S57" i="46" s="1"/>
  <c r="P57" i="46"/>
  <c r="Q57" i="46"/>
  <c r="R57" i="46"/>
  <c r="M58" i="46"/>
  <c r="N58" i="46"/>
  <c r="U58" i="46" s="1"/>
  <c r="O58" i="46"/>
  <c r="P58" i="46"/>
  <c r="Q58" i="46"/>
  <c r="R58" i="46"/>
  <c r="M59" i="46"/>
  <c r="N59" i="46"/>
  <c r="O59" i="46"/>
  <c r="P59" i="46"/>
  <c r="Q59" i="46"/>
  <c r="R59" i="46"/>
  <c r="M60" i="46"/>
  <c r="N60" i="46"/>
  <c r="O60" i="46"/>
  <c r="P60" i="46"/>
  <c r="Q60" i="46"/>
  <c r="R60" i="46"/>
  <c r="M15" i="46"/>
  <c r="N15" i="46"/>
  <c r="U15" i="46" s="1"/>
  <c r="O15" i="46"/>
  <c r="P15" i="46"/>
  <c r="Q15" i="46"/>
  <c r="R15" i="46"/>
  <c r="N14" i="46"/>
  <c r="O14" i="46"/>
  <c r="P14" i="46"/>
  <c r="Q14" i="46"/>
  <c r="R14" i="46"/>
  <c r="M14" i="46"/>
  <c r="L56" i="46"/>
  <c r="L51" i="46"/>
  <c r="L47" i="46"/>
  <c r="L43" i="46"/>
  <c r="L38" i="46"/>
  <c r="L34" i="46"/>
  <c r="L31" i="46"/>
  <c r="L28" i="46"/>
  <c r="L25" i="46"/>
  <c r="L22" i="46"/>
  <c r="L18" i="46"/>
  <c r="L14" i="46"/>
  <c r="J56" i="46"/>
  <c r="J51" i="46"/>
  <c r="J47" i="46"/>
  <c r="J43" i="46"/>
  <c r="J38" i="46"/>
  <c r="J34" i="46"/>
  <c r="J31" i="46"/>
  <c r="J28" i="46"/>
  <c r="J25" i="46"/>
  <c r="J22" i="46"/>
  <c r="J18" i="46"/>
  <c r="J14" i="46"/>
  <c r="K66" i="46"/>
  <c r="AI58" i="46"/>
  <c r="V58" i="46"/>
  <c r="AI57" i="46"/>
  <c r="V57" i="46"/>
  <c r="AI56" i="46"/>
  <c r="AF56" i="46"/>
  <c r="AJ56" i="46"/>
  <c r="U56" i="46"/>
  <c r="AI55" i="46"/>
  <c r="AE55" i="46"/>
  <c r="AI54" i="46"/>
  <c r="AF54" i="46"/>
  <c r="AM54" i="46" s="1"/>
  <c r="AE54" i="46"/>
  <c r="AJ54" i="46"/>
  <c r="V54" i="46"/>
  <c r="AI53" i="46"/>
  <c r="AI52" i="46"/>
  <c r="AI51" i="46"/>
  <c r="AI50" i="46"/>
  <c r="AJ50" i="46" s="1"/>
  <c r="AF50" i="46"/>
  <c r="AM50" i="46" s="1"/>
  <c r="AE50" i="46"/>
  <c r="AG50" i="46" s="1"/>
  <c r="V50" i="46"/>
  <c r="U50" i="46"/>
  <c r="W50" i="46" s="1"/>
  <c r="AJ49" i="46"/>
  <c r="AI49" i="46"/>
  <c r="AF49" i="46"/>
  <c r="U49" i="46"/>
  <c r="AI48" i="46"/>
  <c r="AI47" i="46"/>
  <c r="AI46" i="46"/>
  <c r="AI45" i="46"/>
  <c r="AJ45" i="46" s="1"/>
  <c r="AF45" i="46"/>
  <c r="AM45" i="46" s="1"/>
  <c r="AE45" i="46"/>
  <c r="AK45" i="46" s="1"/>
  <c r="AI44" i="46"/>
  <c r="AF44" i="46"/>
  <c r="AM44" i="46" s="1"/>
  <c r="AE44" i="46"/>
  <c r="AJ44" i="46"/>
  <c r="AI43" i="46"/>
  <c r="AI42" i="46"/>
  <c r="AF42" i="46"/>
  <c r="AM42" i="46" s="1"/>
  <c r="U42" i="46"/>
  <c r="AJ41" i="46"/>
  <c r="AI41" i="46"/>
  <c r="AF41" i="46"/>
  <c r="AE41" i="46"/>
  <c r="AG41" i="46" s="1"/>
  <c r="AN41" i="46" s="1"/>
  <c r="V41" i="46"/>
  <c r="U41" i="46"/>
  <c r="X41" i="46" s="1"/>
  <c r="AI40" i="46"/>
  <c r="AF40" i="46"/>
  <c r="AI39" i="46"/>
  <c r="AI38" i="46"/>
  <c r="AF38" i="46"/>
  <c r="AM38" i="46" s="1"/>
  <c r="S38" i="46"/>
  <c r="AJ37" i="46"/>
  <c r="AI37" i="46"/>
  <c r="AF37" i="46"/>
  <c r="AM37" i="46" s="1"/>
  <c r="AE37" i="46"/>
  <c r="V37" i="46"/>
  <c r="U37" i="46"/>
  <c r="Z37" i="46" s="1"/>
  <c r="AI36" i="46"/>
  <c r="AJ36" i="46" s="1"/>
  <c r="AF36" i="46"/>
  <c r="AE36" i="46"/>
  <c r="V36" i="46"/>
  <c r="U36" i="46"/>
  <c r="Z36" i="46" s="1"/>
  <c r="AJ35" i="46"/>
  <c r="AI35" i="46"/>
  <c r="AF35" i="46"/>
  <c r="AM35" i="46" s="1"/>
  <c r="AI34" i="46"/>
  <c r="AI33" i="46"/>
  <c r="AF33" i="46"/>
  <c r="AM33" i="46" s="1"/>
  <c r="AE33" i="46"/>
  <c r="AJ33" i="46"/>
  <c r="AI32" i="46"/>
  <c r="AF32" i="46"/>
  <c r="AI31" i="46"/>
  <c r="AF31" i="46"/>
  <c r="AE31" i="46"/>
  <c r="AJ31" i="46"/>
  <c r="S31" i="46"/>
  <c r="U31" i="46"/>
  <c r="AI30" i="46"/>
  <c r="V30" i="46"/>
  <c r="U30" i="46"/>
  <c r="S30" i="46"/>
  <c r="AI29" i="46"/>
  <c r="AJ29" i="46" s="1"/>
  <c r="AF29" i="46"/>
  <c r="AE29" i="46"/>
  <c r="AG29" i="46" s="1"/>
  <c r="AH29" i="46" s="1"/>
  <c r="V29" i="46"/>
  <c r="U29" i="46"/>
  <c r="W29" i="46" s="1"/>
  <c r="S29" i="46"/>
  <c r="AJ28" i="46"/>
  <c r="AI28" i="46"/>
  <c r="U28" i="46"/>
  <c r="X28" i="46" s="1"/>
  <c r="V28" i="46"/>
  <c r="AI27" i="46"/>
  <c r="AE27" i="46"/>
  <c r="AJ26" i="46"/>
  <c r="AI26" i="46"/>
  <c r="AF26" i="46"/>
  <c r="AE26" i="46"/>
  <c r="AK26" i="46" s="1"/>
  <c r="AI25" i="46"/>
  <c r="AI24" i="46"/>
  <c r="AF24" i="46"/>
  <c r="AM24" i="46" s="1"/>
  <c r="AE24" i="46"/>
  <c r="AG24" i="46" s="1"/>
  <c r="AN24" i="46" s="1"/>
  <c r="AJ24" i="46"/>
  <c r="U24" i="46"/>
  <c r="Z24" i="46" s="1"/>
  <c r="T24" i="46"/>
  <c r="AJ23" i="46"/>
  <c r="AI23" i="46"/>
  <c r="AF23" i="46"/>
  <c r="AM23" i="46" s="1"/>
  <c r="AE23" i="46"/>
  <c r="AG23" i="46" s="1"/>
  <c r="AN23" i="46" s="1"/>
  <c r="U23" i="46"/>
  <c r="S23" i="46"/>
  <c r="AJ22" i="46"/>
  <c r="AI22" i="46"/>
  <c r="AF22" i="46"/>
  <c r="AM22" i="46" s="1"/>
  <c r="AE22" i="46"/>
  <c r="AK22" i="46" s="1"/>
  <c r="AJ21" i="46"/>
  <c r="AI21" i="46"/>
  <c r="T21" i="46"/>
  <c r="U21" i="46"/>
  <c r="AI20" i="46"/>
  <c r="AJ20" i="46" s="1"/>
  <c r="AF20" i="46"/>
  <c r="AM20" i="46" s="1"/>
  <c r="AJ19" i="46"/>
  <c r="AI19" i="46"/>
  <c r="AE19" i="46"/>
  <c r="AG19" i="46" s="1"/>
  <c r="U19" i="46"/>
  <c r="AI18" i="46"/>
  <c r="AE18" i="46"/>
  <c r="S18" i="46"/>
  <c r="AI17" i="46"/>
  <c r="AF17" i="46"/>
  <c r="AE17" i="46"/>
  <c r="AG17" i="46" s="1"/>
  <c r="AN17" i="46" s="1"/>
  <c r="V17" i="46"/>
  <c r="U17" i="46"/>
  <c r="S17" i="46"/>
  <c r="AJ16" i="46"/>
  <c r="AI16" i="46"/>
  <c r="AF16" i="46"/>
  <c r="AM16" i="46" s="1"/>
  <c r="AE16" i="46"/>
  <c r="AG16" i="46" s="1"/>
  <c r="AN16" i="46" s="1"/>
  <c r="V16" i="46"/>
  <c r="U16" i="46"/>
  <c r="W16" i="46" s="1"/>
  <c r="AI15" i="46"/>
  <c r="T15" i="46"/>
  <c r="S15" i="46"/>
  <c r="AI14" i="46"/>
  <c r="Q4" i="46"/>
  <c r="Q3" i="46"/>
  <c r="AE14" i="47" l="1"/>
  <c r="AE59" i="46"/>
  <c r="AG59" i="46" s="1"/>
  <c r="AF48" i="47"/>
  <c r="AE58" i="46"/>
  <c r="AE14" i="46"/>
  <c r="AG14" i="46" s="1"/>
  <c r="AN14" i="46" s="1"/>
  <c r="AJ58" i="46"/>
  <c r="AH59" i="46"/>
  <c r="AO59" i="46" s="1"/>
  <c r="AF14" i="46"/>
  <c r="AM14" i="46" s="1"/>
  <c r="W19" i="46"/>
  <c r="P63" i="46"/>
  <c r="Z44" i="46"/>
  <c r="AE52" i="46"/>
  <c r="AK52" i="46" s="1"/>
  <c r="AE34" i="46"/>
  <c r="AK34" i="46" s="1"/>
  <c r="S19" i="47"/>
  <c r="W44" i="47"/>
  <c r="AE51" i="47"/>
  <c r="AE59" i="47"/>
  <c r="N63" i="46"/>
  <c r="E76" i="46" s="1"/>
  <c r="E77" i="46" s="1"/>
  <c r="I90" i="33" s="1"/>
  <c r="X38" i="47"/>
  <c r="V47" i="47"/>
  <c r="AJ51" i="46"/>
  <c r="Z58" i="46"/>
  <c r="Z52" i="46"/>
  <c r="X39" i="46"/>
  <c r="AE56" i="46"/>
  <c r="AE49" i="46"/>
  <c r="AG49" i="46" s="1"/>
  <c r="AN49" i="46" s="1"/>
  <c r="AE20" i="46"/>
  <c r="AG20" i="46" s="1"/>
  <c r="AN20" i="46" s="1"/>
  <c r="AE43" i="47"/>
  <c r="AK43" i="47" s="1"/>
  <c r="V52" i="47"/>
  <c r="AF57" i="47"/>
  <c r="AE57" i="47"/>
  <c r="W40" i="47"/>
  <c r="AF43" i="47"/>
  <c r="AM43" i="47" s="1"/>
  <c r="Y48" i="47"/>
  <c r="AE48" i="47"/>
  <c r="AK48" i="47" s="1"/>
  <c r="AL59" i="46"/>
  <c r="AQ59" i="46" s="1"/>
  <c r="AK51" i="47"/>
  <c r="AG51" i="47"/>
  <c r="AG60" i="46"/>
  <c r="AN60" i="46" s="1"/>
  <c r="AK60" i="46"/>
  <c r="AE51" i="46"/>
  <c r="Z51" i="47"/>
  <c r="AE15" i="46"/>
  <c r="AK15" i="46" s="1"/>
  <c r="X56" i="46"/>
  <c r="AE57" i="46"/>
  <c r="AK57" i="46" s="1"/>
  <c r="AK59" i="46"/>
  <c r="AF14" i="47"/>
  <c r="AM14" i="47" s="1"/>
  <c r="X19" i="47"/>
  <c r="AE19" i="47"/>
  <c r="AK19" i="47" s="1"/>
  <c r="Y23" i="47"/>
  <c r="AA23" i="47" s="1"/>
  <c r="AE38" i="47"/>
  <c r="AH19" i="46"/>
  <c r="AL19" i="46" s="1"/>
  <c r="Z38" i="46"/>
  <c r="AE38" i="46"/>
  <c r="AG38" i="46" s="1"/>
  <c r="AE40" i="46"/>
  <c r="AG40" i="46" s="1"/>
  <c r="AN40" i="46" s="1"/>
  <c r="AM48" i="46"/>
  <c r="V20" i="46"/>
  <c r="AE48" i="46"/>
  <c r="AM60" i="46"/>
  <c r="AM59" i="46"/>
  <c r="AF19" i="47"/>
  <c r="AM19" i="47" s="1"/>
  <c r="V21" i="47"/>
  <c r="Z21" i="47"/>
  <c r="AA21" i="47" s="1"/>
  <c r="AB21" i="47" s="1"/>
  <c r="AF38" i="47"/>
  <c r="AM38" i="47" s="1"/>
  <c r="Z40" i="47"/>
  <c r="V48" i="47"/>
  <c r="AE60" i="47"/>
  <c r="Q63" i="47"/>
  <c r="AF60" i="47"/>
  <c r="V35" i="46"/>
  <c r="R63" i="47"/>
  <c r="AE15" i="47"/>
  <c r="AK15" i="47" s="1"/>
  <c r="W35" i="47"/>
  <c r="W47" i="47"/>
  <c r="Z49" i="46"/>
  <c r="AJ57" i="46"/>
  <c r="Y22" i="46"/>
  <c r="AJ35" i="47"/>
  <c r="AF40" i="47"/>
  <c r="AG43" i="47"/>
  <c r="AG48" i="47"/>
  <c r="AN48" i="47" s="1"/>
  <c r="AF59" i="47"/>
  <c r="AM59" i="47" s="1"/>
  <c r="E80" i="47"/>
  <c r="E81" i="47" s="1"/>
  <c r="D86" i="47"/>
  <c r="E86" i="47" s="1"/>
  <c r="X15" i="47"/>
  <c r="W15" i="47"/>
  <c r="Y15" i="47"/>
  <c r="Z15" i="47"/>
  <c r="V20" i="47"/>
  <c r="Y22" i="47"/>
  <c r="X22" i="47"/>
  <c r="Z22" i="47"/>
  <c r="V22" i="47"/>
  <c r="AG14" i="47"/>
  <c r="AN14" i="47" s="1"/>
  <c r="AK14" i="47"/>
  <c r="Y20" i="47"/>
  <c r="X20" i="47"/>
  <c r="Z20" i="47"/>
  <c r="W20" i="47"/>
  <c r="S22" i="47"/>
  <c r="AM60" i="47"/>
  <c r="N63" i="47"/>
  <c r="U14" i="47"/>
  <c r="W14" i="47" s="1"/>
  <c r="AI63" i="47"/>
  <c r="AH16" i="47"/>
  <c r="AL16" i="47" s="1"/>
  <c r="X18" i="47"/>
  <c r="W18" i="47"/>
  <c r="AM18" i="47"/>
  <c r="Z19" i="47"/>
  <c r="X21" i="47"/>
  <c r="W22" i="47"/>
  <c r="T22" i="47"/>
  <c r="AM22" i="47"/>
  <c r="S23" i="47"/>
  <c r="AM23" i="47"/>
  <c r="Z30" i="47"/>
  <c r="Y30" i="47"/>
  <c r="AA30" i="47" s="1"/>
  <c r="X30" i="47"/>
  <c r="W30" i="47"/>
  <c r="AM31" i="47"/>
  <c r="S47" i="47"/>
  <c r="AH14" i="47"/>
  <c r="Y19" i="47"/>
  <c r="AA19" i="47" s="1"/>
  <c r="AH22" i="47"/>
  <c r="AL22" i="47" s="1"/>
  <c r="AN22" i="47"/>
  <c r="O63" i="47"/>
  <c r="AJ14" i="47"/>
  <c r="S15" i="47"/>
  <c r="AH17" i="47"/>
  <c r="AL17" i="47" s="1"/>
  <c r="AH18" i="47"/>
  <c r="AL18" i="47" s="1"/>
  <c r="AF20" i="47"/>
  <c r="AE20" i="47"/>
  <c r="W23" i="47"/>
  <c r="V23" i="47"/>
  <c r="T23" i="47"/>
  <c r="AH24" i="47"/>
  <c r="AL24" i="47" s="1"/>
  <c r="AA25" i="47"/>
  <c r="T28" i="47"/>
  <c r="AA31" i="47"/>
  <c r="T32" i="47"/>
  <c r="T34" i="47"/>
  <c r="Z49" i="47"/>
  <c r="Y49" i="47"/>
  <c r="X49" i="47"/>
  <c r="V49" i="47"/>
  <c r="V15" i="47"/>
  <c r="X23" i="47"/>
  <c r="Z24" i="47"/>
  <c r="Y24" i="47"/>
  <c r="W34" i="47"/>
  <c r="V34" i="47"/>
  <c r="Z35" i="47"/>
  <c r="Y35" i="47"/>
  <c r="V35" i="47"/>
  <c r="X35" i="47"/>
  <c r="AG35" i="47"/>
  <c r="AK35" i="47"/>
  <c r="W39" i="47"/>
  <c r="V39" i="47"/>
  <c r="AG40" i="47"/>
  <c r="AN40" i="47" s="1"/>
  <c r="AK40" i="47"/>
  <c r="S49" i="47"/>
  <c r="S54" i="47"/>
  <c r="S37" i="47"/>
  <c r="S50" i="47"/>
  <c r="S42" i="47"/>
  <c r="S57" i="47"/>
  <c r="S53" i="47"/>
  <c r="S55" i="47"/>
  <c r="AB55" i="47" s="1"/>
  <c r="S48" i="47"/>
  <c r="S32" i="47"/>
  <c r="S28" i="47"/>
  <c r="S38" i="47"/>
  <c r="S30" i="47"/>
  <c r="S26" i="47"/>
  <c r="S24" i="47"/>
  <c r="S43" i="47"/>
  <c r="S35" i="47"/>
  <c r="S31" i="47"/>
  <c r="S41" i="47"/>
  <c r="AB41" i="47" s="1"/>
  <c r="S33" i="47"/>
  <c r="S29" i="47"/>
  <c r="S46" i="47"/>
  <c r="AB46" i="47" s="1"/>
  <c r="S36" i="47"/>
  <c r="S27" i="47"/>
  <c r="P63" i="47"/>
  <c r="T54" i="47"/>
  <c r="T49" i="47"/>
  <c r="T50" i="47"/>
  <c r="T42" i="47"/>
  <c r="T53" i="47"/>
  <c r="T55" i="47"/>
  <c r="T36" i="47"/>
  <c r="T51" i="47"/>
  <c r="T30" i="47"/>
  <c r="T26" i="47"/>
  <c r="T24" i="47"/>
  <c r="T43" i="47"/>
  <c r="T31" i="47"/>
  <c r="T41" i="47"/>
  <c r="T37" i="47"/>
  <c r="T33" i="47"/>
  <c r="T29" i="47"/>
  <c r="T25" i="47"/>
  <c r="T46" i="47"/>
  <c r="T27" i="47"/>
  <c r="AJ15" i="47"/>
  <c r="S16" i="47"/>
  <c r="AB16" i="47" s="1"/>
  <c r="S17" i="47"/>
  <c r="AB17" i="47" s="1"/>
  <c r="V19" i="47"/>
  <c r="AB19" i="47" s="1"/>
  <c r="AK22" i="47"/>
  <c r="S25" i="47"/>
  <c r="Z34" i="47"/>
  <c r="Y34" i="47"/>
  <c r="X34" i="47"/>
  <c r="V38" i="47"/>
  <c r="W38" i="47"/>
  <c r="Z38" i="47"/>
  <c r="Y38" i="47"/>
  <c r="Y39" i="47"/>
  <c r="X39" i="47"/>
  <c r="Z39" i="47"/>
  <c r="T58" i="47"/>
  <c r="W19" i="47"/>
  <c r="Z26" i="47"/>
  <c r="Y26" i="47"/>
  <c r="X26" i="47"/>
  <c r="S34" i="47"/>
  <c r="S39" i="47"/>
  <c r="L63" i="47"/>
  <c r="K67" i="47" s="1"/>
  <c r="K68" i="47" s="1"/>
  <c r="S14" i="47"/>
  <c r="AN16" i="47"/>
  <c r="AK17" i="47"/>
  <c r="S18" i="47"/>
  <c r="AB18" i="47" s="1"/>
  <c r="X24" i="47"/>
  <c r="AH28" i="47"/>
  <c r="AL28" i="47" s="1"/>
  <c r="AN28" i="47"/>
  <c r="AH32" i="47"/>
  <c r="AL32" i="47" s="1"/>
  <c r="AN32" i="47"/>
  <c r="S51" i="47"/>
  <c r="T56" i="47"/>
  <c r="AK28" i="47"/>
  <c r="AK32" i="47"/>
  <c r="AH40" i="47"/>
  <c r="AL40" i="47" s="1"/>
  <c r="T47" i="47"/>
  <c r="T48" i="47"/>
  <c r="W51" i="47"/>
  <c r="AH54" i="47"/>
  <c r="AL54" i="47" s="1"/>
  <c r="W58" i="47"/>
  <c r="V58" i="47"/>
  <c r="AM26" i="47"/>
  <c r="AM30" i="47"/>
  <c r="AJ34" i="47"/>
  <c r="T38" i="47"/>
  <c r="AK45" i="47"/>
  <c r="AG45" i="47"/>
  <c r="AN45" i="47" s="1"/>
  <c r="Y51" i="47"/>
  <c r="X51" i="47"/>
  <c r="AF52" i="47"/>
  <c r="AE52" i="47"/>
  <c r="Z58" i="47"/>
  <c r="Y58" i="47"/>
  <c r="AA58" i="47" s="1"/>
  <c r="X58" i="47"/>
  <c r="W28" i="47"/>
  <c r="W32" i="47"/>
  <c r="AH37" i="47"/>
  <c r="AL37" i="47" s="1"/>
  <c r="X40" i="47"/>
  <c r="Z44" i="47"/>
  <c r="Y44" i="47"/>
  <c r="X44" i="47"/>
  <c r="AK44" i="47"/>
  <c r="AG44" i="47"/>
  <c r="AN44" i="47" s="1"/>
  <c r="AH45" i="47"/>
  <c r="Z52" i="47"/>
  <c r="Y52" i="47"/>
  <c r="X52" i="47"/>
  <c r="W52" i="47"/>
  <c r="AN53" i="47"/>
  <c r="Z56" i="47"/>
  <c r="Y56" i="47"/>
  <c r="X56" i="47"/>
  <c r="W56" i="47"/>
  <c r="V56" i="47"/>
  <c r="W57" i="47"/>
  <c r="Z57" i="47"/>
  <c r="Y57" i="47"/>
  <c r="S58" i="47"/>
  <c r="J63" i="47"/>
  <c r="K71" i="47" s="1"/>
  <c r="X28" i="47"/>
  <c r="X32" i="47"/>
  <c r="AE34" i="47"/>
  <c r="AM35" i="47"/>
  <c r="AH36" i="47"/>
  <c r="AL36" i="47" s="1"/>
  <c r="Z37" i="47"/>
  <c r="Y37" i="47"/>
  <c r="AA37" i="47" s="1"/>
  <c r="X37" i="47"/>
  <c r="S40" i="47"/>
  <c r="Y40" i="47"/>
  <c r="AA40" i="47" s="1"/>
  <c r="AK41" i="47"/>
  <c r="AH42" i="47"/>
  <c r="AL42" i="47" s="1"/>
  <c r="W43" i="47"/>
  <c r="V43" i="47"/>
  <c r="S44" i="47"/>
  <c r="AH44" i="47"/>
  <c r="AL44" i="47" s="1"/>
  <c r="AN46" i="47"/>
  <c r="AM48" i="47"/>
  <c r="S52" i="47"/>
  <c r="Z54" i="47"/>
  <c r="Y54" i="47"/>
  <c r="AA54" i="47" s="1"/>
  <c r="X54" i="47"/>
  <c r="W54" i="47"/>
  <c r="AK57" i="47"/>
  <c r="AG57" i="47"/>
  <c r="AN57" i="47" s="1"/>
  <c r="Y28" i="47"/>
  <c r="AA28" i="47" s="1"/>
  <c r="Y32" i="47"/>
  <c r="AA32" i="47" s="1"/>
  <c r="T40" i="47"/>
  <c r="AM41" i="47"/>
  <c r="Y43" i="47"/>
  <c r="X43" i="47"/>
  <c r="Z43" i="47"/>
  <c r="T44" i="47"/>
  <c r="W49" i="47"/>
  <c r="AM50" i="47"/>
  <c r="T52" i="47"/>
  <c r="AJ52" i="47"/>
  <c r="AM56" i="47"/>
  <c r="T57" i="47"/>
  <c r="AA36" i="47"/>
  <c r="AK37" i="47"/>
  <c r="AF39" i="47"/>
  <c r="AE39" i="47"/>
  <c r="AM40" i="47"/>
  <c r="AN41" i="47"/>
  <c r="Z47" i="47"/>
  <c r="Y47" i="47"/>
  <c r="X47" i="47"/>
  <c r="AF47" i="47"/>
  <c r="AE47" i="47"/>
  <c r="X48" i="47"/>
  <c r="W48" i="47"/>
  <c r="Z48" i="47"/>
  <c r="AM49" i="47"/>
  <c r="S56" i="47"/>
  <c r="AJ49" i="47"/>
  <c r="AJ56" i="47"/>
  <c r="AM57" i="47"/>
  <c r="Y42" i="47"/>
  <c r="AA42" i="47" s="1"/>
  <c r="Y50" i="47"/>
  <c r="AA50" i="47" s="1"/>
  <c r="AM54" i="47"/>
  <c r="AJ58" i="47"/>
  <c r="AE49" i="47"/>
  <c r="V51" i="47"/>
  <c r="AK55" i="47"/>
  <c r="AE56" i="47"/>
  <c r="AJ59" i="47"/>
  <c r="AE58" i="47"/>
  <c r="AJ60" i="46"/>
  <c r="AJ59" i="46"/>
  <c r="AN59" i="46"/>
  <c r="AG45" i="46"/>
  <c r="AK23" i="46"/>
  <c r="AG26" i="46"/>
  <c r="AN26" i="46" s="1"/>
  <c r="AG56" i="46"/>
  <c r="AN56" i="46" s="1"/>
  <c r="AK56" i="46"/>
  <c r="AN19" i="46"/>
  <c r="AF52" i="46"/>
  <c r="AE25" i="46"/>
  <c r="AG25" i="46" s="1"/>
  <c r="AH25" i="46" s="1"/>
  <c r="AL25" i="46" s="1"/>
  <c r="AK19" i="46"/>
  <c r="AG22" i="46"/>
  <c r="AN22" i="46" s="1"/>
  <c r="AE39" i="46"/>
  <c r="AK39" i="46" s="1"/>
  <c r="AK17" i="46"/>
  <c r="AF39" i="46"/>
  <c r="AM39" i="46" s="1"/>
  <c r="AK40" i="46"/>
  <c r="AH50" i="46"/>
  <c r="AL50" i="46" s="1"/>
  <c r="AK32" i="46"/>
  <c r="AK41" i="46"/>
  <c r="AA22" i="46"/>
  <c r="W28" i="46"/>
  <c r="W24" i="46"/>
  <c r="Y17" i="46"/>
  <c r="Z35" i="46"/>
  <c r="W36" i="46"/>
  <c r="X50" i="46"/>
  <c r="W22" i="46"/>
  <c r="X36" i="46"/>
  <c r="Y38" i="46"/>
  <c r="Y50" i="46"/>
  <c r="X22" i="46"/>
  <c r="Z50" i="46"/>
  <c r="X58" i="46"/>
  <c r="W58" i="46"/>
  <c r="V47" i="46"/>
  <c r="X47" i="46"/>
  <c r="X40" i="46"/>
  <c r="Y40" i="46"/>
  <c r="AA40" i="46" s="1"/>
  <c r="Z40" i="46"/>
  <c r="Z26" i="46"/>
  <c r="Y26" i="46"/>
  <c r="X26" i="46"/>
  <c r="X25" i="46"/>
  <c r="Z25" i="46"/>
  <c r="Y25" i="46"/>
  <c r="X32" i="46"/>
  <c r="Z32" i="46"/>
  <c r="X17" i="46"/>
  <c r="Y19" i="46"/>
  <c r="W25" i="46"/>
  <c r="V26" i="46"/>
  <c r="Y29" i="46"/>
  <c r="Z31" i="46"/>
  <c r="Y36" i="46"/>
  <c r="AA36" i="46" s="1"/>
  <c r="W57" i="46"/>
  <c r="V19" i="46"/>
  <c r="W31" i="46"/>
  <c r="Z17" i="46"/>
  <c r="AA17" i="46" s="1"/>
  <c r="Z19" i="46"/>
  <c r="Z29" i="46"/>
  <c r="V38" i="46"/>
  <c r="V40" i="46"/>
  <c r="V49" i="46"/>
  <c r="X57" i="46"/>
  <c r="V24" i="46"/>
  <c r="W38" i="46"/>
  <c r="W49" i="46"/>
  <c r="Y57" i="46"/>
  <c r="AA57" i="46" s="1"/>
  <c r="W56" i="46"/>
  <c r="Y24" i="46"/>
  <c r="AA24" i="46" s="1"/>
  <c r="X29" i="46"/>
  <c r="W17" i="46"/>
  <c r="V22" i="46"/>
  <c r="X49" i="46"/>
  <c r="K67" i="46"/>
  <c r="X15" i="46"/>
  <c r="Z15" i="46"/>
  <c r="Y15" i="46"/>
  <c r="AG18" i="46"/>
  <c r="AN18" i="46" s="1"/>
  <c r="AK18" i="46"/>
  <c r="Z33" i="46"/>
  <c r="Y33" i="46"/>
  <c r="AA33" i="46" s="1"/>
  <c r="W33" i="46"/>
  <c r="X33" i="46"/>
  <c r="X42" i="46"/>
  <c r="Z42" i="46"/>
  <c r="Y42" i="46"/>
  <c r="V33" i="46"/>
  <c r="AH36" i="46"/>
  <c r="AL36" i="46" s="1"/>
  <c r="AM36" i="46"/>
  <c r="Z43" i="46"/>
  <c r="Y43" i="46"/>
  <c r="W43" i="46"/>
  <c r="X43" i="46"/>
  <c r="Y27" i="46"/>
  <c r="AA27" i="46" s="1"/>
  <c r="X27" i="46"/>
  <c r="X48" i="46"/>
  <c r="Z48" i="46"/>
  <c r="T57" i="46"/>
  <c r="T50" i="46"/>
  <c r="T58" i="46"/>
  <c r="T41" i="46"/>
  <c r="T20" i="46"/>
  <c r="T44" i="46"/>
  <c r="T31" i="46"/>
  <c r="T29" i="46"/>
  <c r="T52" i="46"/>
  <c r="T48" i="46"/>
  <c r="T42" i="46"/>
  <c r="T40" i="46"/>
  <c r="T36" i="46"/>
  <c r="T25" i="46"/>
  <c r="T22" i="46"/>
  <c r="T32" i="46"/>
  <c r="T39" i="46"/>
  <c r="T27" i="46"/>
  <c r="R63" i="46"/>
  <c r="AM15" i="46"/>
  <c r="AK16" i="46"/>
  <c r="AM17" i="46"/>
  <c r="AH18" i="46"/>
  <c r="AL18" i="46" s="1"/>
  <c r="AM18" i="46"/>
  <c r="AH26" i="46"/>
  <c r="AL26" i="46" s="1"/>
  <c r="T28" i="46"/>
  <c r="AL29" i="46"/>
  <c r="AK36" i="46"/>
  <c r="AG36" i="46"/>
  <c r="AN36" i="46" s="1"/>
  <c r="W42" i="46"/>
  <c r="V42" i="46"/>
  <c r="S46" i="46"/>
  <c r="AF46" i="46"/>
  <c r="AE46" i="46"/>
  <c r="AJ46" i="46"/>
  <c r="T51" i="46"/>
  <c r="Z18" i="46"/>
  <c r="Y18" i="46"/>
  <c r="AK31" i="46"/>
  <c r="AG31" i="46"/>
  <c r="AN31" i="46" s="1"/>
  <c r="AK44" i="46"/>
  <c r="AG44" i="46"/>
  <c r="T54" i="46"/>
  <c r="AH16" i="46"/>
  <c r="AL16" i="46" s="1"/>
  <c r="AJ18" i="46"/>
  <c r="Z20" i="46"/>
  <c r="Y20" i="46"/>
  <c r="AA20" i="46" s="1"/>
  <c r="X20" i="46"/>
  <c r="X21" i="46"/>
  <c r="Z21" i="46"/>
  <c r="Y21" i="46"/>
  <c r="V21" i="46"/>
  <c r="AJ25" i="46"/>
  <c r="AM26" i="46"/>
  <c r="AJ27" i="46"/>
  <c r="Y30" i="46"/>
  <c r="X30" i="46"/>
  <c r="Z30" i="46"/>
  <c r="W30" i="46"/>
  <c r="AJ32" i="46"/>
  <c r="Z34" i="46"/>
  <c r="X34" i="46"/>
  <c r="T37" i="46"/>
  <c r="Y46" i="46"/>
  <c r="X46" i="46"/>
  <c r="V46" i="46"/>
  <c r="T49" i="46"/>
  <c r="W15" i="46"/>
  <c r="V15" i="46"/>
  <c r="AH17" i="46"/>
  <c r="AL17" i="46" s="1"/>
  <c r="AM34" i="46"/>
  <c r="AH45" i="46"/>
  <c r="AN45" i="46"/>
  <c r="AH20" i="46"/>
  <c r="AL20" i="46" s="1"/>
  <c r="AG43" i="46"/>
  <c r="AN43" i="46" s="1"/>
  <c r="AK43" i="46"/>
  <c r="AM49" i="46"/>
  <c r="T16" i="46"/>
  <c r="AJ17" i="46"/>
  <c r="Z16" i="46"/>
  <c r="Y16" i="46"/>
  <c r="X16" i="46"/>
  <c r="AG33" i="46"/>
  <c r="AK33" i="46"/>
  <c r="Y34" i="46"/>
  <c r="T35" i="46"/>
  <c r="Y37" i="46"/>
  <c r="AA37" i="46" s="1"/>
  <c r="X37" i="46"/>
  <c r="W37" i="46"/>
  <c r="T43" i="46"/>
  <c r="W46" i="46"/>
  <c r="Z46" i="46"/>
  <c r="Z51" i="46"/>
  <c r="Y51" i="46"/>
  <c r="V51" i="46"/>
  <c r="X51" i="46"/>
  <c r="W51" i="46"/>
  <c r="AG51" i="46"/>
  <c r="AN51" i="46" s="1"/>
  <c r="AK51" i="46"/>
  <c r="Z53" i="46"/>
  <c r="Y53" i="46"/>
  <c r="X53" i="46"/>
  <c r="W53" i="46"/>
  <c r="V53" i="46"/>
  <c r="T55" i="46"/>
  <c r="AH41" i="46"/>
  <c r="AL41" i="46" s="1"/>
  <c r="AM41" i="46"/>
  <c r="V18" i="46"/>
  <c r="W34" i="46"/>
  <c r="W48" i="46"/>
  <c r="V48" i="46"/>
  <c r="Y48" i="46"/>
  <c r="O63" i="46"/>
  <c r="S14" i="46"/>
  <c r="AK14" i="46"/>
  <c r="AG15" i="46"/>
  <c r="AN15" i="46" s="1"/>
  <c r="W18" i="46"/>
  <c r="T14" i="46"/>
  <c r="X18" i="46"/>
  <c r="AE21" i="46"/>
  <c r="AF21" i="46"/>
  <c r="T23" i="46"/>
  <c r="AK24" i="46"/>
  <c r="Z28" i="46"/>
  <c r="Y28" i="46"/>
  <c r="AM29" i="46"/>
  <c r="S58" i="46"/>
  <c r="S49" i="46"/>
  <c r="S41" i="46"/>
  <c r="S42" i="46"/>
  <c r="S54" i="46"/>
  <c r="S50" i="46"/>
  <c r="S34" i="46"/>
  <c r="S26" i="46"/>
  <c r="S22" i="46"/>
  <c r="S33" i="46"/>
  <c r="S24" i="46"/>
  <c r="S20" i="46"/>
  <c r="S37" i="46"/>
  <c r="S36" i="46"/>
  <c r="S35" i="46"/>
  <c r="S16" i="46"/>
  <c r="S25" i="46"/>
  <c r="S44" i="46"/>
  <c r="S32" i="46"/>
  <c r="Q63" i="46"/>
  <c r="T17" i="46"/>
  <c r="T18" i="46"/>
  <c r="W20" i="46"/>
  <c r="W23" i="46"/>
  <c r="Y23" i="46"/>
  <c r="Z23" i="46"/>
  <c r="X23" i="46"/>
  <c r="T26" i="46"/>
  <c r="S28" i="46"/>
  <c r="AF28" i="46"/>
  <c r="AE28" i="46"/>
  <c r="AN29" i="46"/>
  <c r="AF30" i="46"/>
  <c r="AE30" i="46"/>
  <c r="AJ30" i="46"/>
  <c r="AM31" i="46"/>
  <c r="X35" i="46"/>
  <c r="Y35" i="46"/>
  <c r="W35" i="46"/>
  <c r="AJ47" i="46"/>
  <c r="AF47" i="46"/>
  <c r="AE47" i="46"/>
  <c r="X55" i="46"/>
  <c r="Z55" i="46"/>
  <c r="Y55" i="46"/>
  <c r="K68" i="46"/>
  <c r="AJ15" i="46"/>
  <c r="W21" i="46"/>
  <c r="W27" i="46"/>
  <c r="V27" i="46"/>
  <c r="X31" i="46"/>
  <c r="AH40" i="46"/>
  <c r="AL40" i="46" s="1"/>
  <c r="AM40" i="46"/>
  <c r="Z41" i="46"/>
  <c r="Y41" i="46"/>
  <c r="T46" i="46"/>
  <c r="S47" i="46"/>
  <c r="S48" i="46"/>
  <c r="AM58" i="46"/>
  <c r="K71" i="46"/>
  <c r="AH24" i="46"/>
  <c r="AL24" i="46" s="1"/>
  <c r="AK27" i="46"/>
  <c r="T30" i="46"/>
  <c r="Y31" i="46"/>
  <c r="T33" i="46"/>
  <c r="AG35" i="46"/>
  <c r="AN35" i="46" s="1"/>
  <c r="AK35" i="46"/>
  <c r="AG37" i="46"/>
  <c r="AN37" i="46" s="1"/>
  <c r="AK37" i="46"/>
  <c r="Y39" i="46"/>
  <c r="W39" i="46"/>
  <c r="Z39" i="46"/>
  <c r="Y52" i="46"/>
  <c r="AA52" i="46" s="1"/>
  <c r="X52" i="46"/>
  <c r="AK54" i="46"/>
  <c r="AG54" i="46"/>
  <c r="AN54" i="46" s="1"/>
  <c r="S56" i="46"/>
  <c r="T53" i="46"/>
  <c r="W55" i="46"/>
  <c r="V55" i="46"/>
  <c r="AG58" i="46"/>
  <c r="AN58" i="46" s="1"/>
  <c r="AK58" i="46"/>
  <c r="AM19" i="46"/>
  <c r="U14" i="46"/>
  <c r="X19" i="46"/>
  <c r="S21" i="46"/>
  <c r="AH22" i="46"/>
  <c r="AL22" i="46" s="1"/>
  <c r="X24" i="46"/>
  <c r="AN25" i="46"/>
  <c r="AG27" i="46"/>
  <c r="AN27" i="46" s="1"/>
  <c r="AK29" i="46"/>
  <c r="W32" i="46"/>
  <c r="Y32" i="46"/>
  <c r="AA32" i="46" s="1"/>
  <c r="AM32" i="46"/>
  <c r="W41" i="46"/>
  <c r="S43" i="46"/>
  <c r="AM43" i="46"/>
  <c r="AF53" i="46"/>
  <c r="AE53" i="46"/>
  <c r="AH23" i="46"/>
  <c r="AL23" i="46" s="1"/>
  <c r="AF27" i="46"/>
  <c r="AH32" i="46"/>
  <c r="AL32" i="46" s="1"/>
  <c r="AJ34" i="46"/>
  <c r="AK42" i="46"/>
  <c r="V43" i="46"/>
  <c r="T47" i="46"/>
  <c r="AN50" i="46"/>
  <c r="S51" i="46"/>
  <c r="W52" i="46"/>
  <c r="V52" i="46"/>
  <c r="S53" i="46"/>
  <c r="X54" i="46"/>
  <c r="W54" i="46"/>
  <c r="Z54" i="46"/>
  <c r="AA54" i="46" s="1"/>
  <c r="T56" i="46"/>
  <c r="AM57" i="46"/>
  <c r="W44" i="46"/>
  <c r="V44" i="46"/>
  <c r="S55" i="46"/>
  <c r="V56" i="46"/>
  <c r="AJ42" i="46"/>
  <c r="Y44" i="46"/>
  <c r="AA44" i="46" s="1"/>
  <c r="X44" i="46"/>
  <c r="Z47" i="46"/>
  <c r="W47" i="46"/>
  <c r="Y47" i="46"/>
  <c r="AK48" i="46"/>
  <c r="AG48" i="46"/>
  <c r="AK50" i="46"/>
  <c r="AK55" i="46"/>
  <c r="AG55" i="46"/>
  <c r="AN55" i="46" s="1"/>
  <c r="Z56" i="46"/>
  <c r="Y56" i="46"/>
  <c r="AF55" i="46"/>
  <c r="AG42" i="46"/>
  <c r="AN42" i="46" s="1"/>
  <c r="AJ43" i="46"/>
  <c r="AJ48" i="46"/>
  <c r="AM51" i="46"/>
  <c r="AJ55" i="46"/>
  <c r="AM56" i="46"/>
  <c r="Y49" i="46"/>
  <c r="AA49" i="46" s="1"/>
  <c r="Y58" i="46"/>
  <c r="AH14" i="46" l="1"/>
  <c r="AL14" i="46" s="1"/>
  <c r="AG34" i="46"/>
  <c r="AK38" i="46"/>
  <c r="AA38" i="46"/>
  <c r="AG52" i="46"/>
  <c r="AN52" i="46" s="1"/>
  <c r="AG19" i="47"/>
  <c r="AN19" i="47" s="1"/>
  <c r="AK49" i="46"/>
  <c r="AA51" i="47"/>
  <c r="AB51" i="47" s="1"/>
  <c r="AQ51" i="47" s="1"/>
  <c r="AR51" i="47" s="1"/>
  <c r="AK59" i="47"/>
  <c r="AG59" i="47"/>
  <c r="AH56" i="46"/>
  <c r="AL56" i="46" s="1"/>
  <c r="AA48" i="47"/>
  <c r="AB48" i="47" s="1"/>
  <c r="AA58" i="46"/>
  <c r="AB58" i="46" s="1"/>
  <c r="AG39" i="46"/>
  <c r="AK20" i="46"/>
  <c r="AB40" i="47"/>
  <c r="AN43" i="47"/>
  <c r="AH43" i="47"/>
  <c r="AL43" i="47" s="1"/>
  <c r="AH60" i="46"/>
  <c r="AG57" i="46"/>
  <c r="AN57" i="46" s="1"/>
  <c r="AB49" i="47"/>
  <c r="AB23" i="47"/>
  <c r="AO23" i="47" s="1"/>
  <c r="AP23" i="47" s="1"/>
  <c r="AK60" i="47"/>
  <c r="AG60" i="47"/>
  <c r="AA43" i="47"/>
  <c r="AB43" i="47" s="1"/>
  <c r="AQ43" i="47" s="1"/>
  <c r="AR43" i="47" s="1"/>
  <c r="AB52" i="46"/>
  <c r="AB52" i="47"/>
  <c r="AK38" i="47"/>
  <c r="AG38" i="47"/>
  <c r="AH51" i="47"/>
  <c r="AL51" i="47" s="1"/>
  <c r="AN51" i="47"/>
  <c r="AA52" i="47"/>
  <c r="AA34" i="47"/>
  <c r="AB34" i="47" s="1"/>
  <c r="V14" i="47"/>
  <c r="V63" i="47" s="1"/>
  <c r="AG15" i="47"/>
  <c r="AA39" i="47"/>
  <c r="T63" i="47"/>
  <c r="AA56" i="47"/>
  <c r="AB56" i="47" s="1"/>
  <c r="AA38" i="47"/>
  <c r="AB38" i="47" s="1"/>
  <c r="AA49" i="47"/>
  <c r="AH48" i="47"/>
  <c r="AL48" i="47" s="1"/>
  <c r="AO19" i="47"/>
  <c r="AP19" i="47" s="1"/>
  <c r="AG47" i="47"/>
  <c r="AN47" i="47" s="1"/>
  <c r="AK47" i="47"/>
  <c r="AO40" i="47"/>
  <c r="AP40" i="47" s="1"/>
  <c r="AQ40" i="47"/>
  <c r="AR40" i="47" s="1"/>
  <c r="AQ18" i="47"/>
  <c r="AR18" i="47" s="1"/>
  <c r="AO18" i="47"/>
  <c r="AP18" i="47" s="1"/>
  <c r="AQ16" i="47"/>
  <c r="AR16" i="47" s="1"/>
  <c r="AO16" i="47"/>
  <c r="AP16" i="47" s="1"/>
  <c r="AQ41" i="47"/>
  <c r="AR41" i="47" s="1"/>
  <c r="AO41" i="47"/>
  <c r="AP41" i="47" s="1"/>
  <c r="AB42" i="47"/>
  <c r="AG20" i="47"/>
  <c r="AN20" i="47" s="1"/>
  <c r="AK20" i="47"/>
  <c r="W63" i="47"/>
  <c r="AM47" i="47"/>
  <c r="AA26" i="47"/>
  <c r="AB31" i="47"/>
  <c r="AB28" i="47"/>
  <c r="AB50" i="47"/>
  <c r="AM20" i="47"/>
  <c r="AG52" i="47"/>
  <c r="AN52" i="47" s="1"/>
  <c r="AK52" i="47"/>
  <c r="AM39" i="47"/>
  <c r="AB58" i="47"/>
  <c r="AO45" i="47"/>
  <c r="AP45" i="47" s="1"/>
  <c r="AL45" i="47"/>
  <c r="AQ45" i="47" s="1"/>
  <c r="AR45" i="47" s="1"/>
  <c r="AB25" i="47"/>
  <c r="AB27" i="47"/>
  <c r="AB32" i="47"/>
  <c r="AB37" i="47"/>
  <c r="AA15" i="47"/>
  <c r="AB15" i="47" s="1"/>
  <c r="AG49" i="47"/>
  <c r="AK49" i="47"/>
  <c r="AG56" i="47"/>
  <c r="AK56" i="47"/>
  <c r="AK39" i="47"/>
  <c r="AG39" i="47"/>
  <c r="AN39" i="47" s="1"/>
  <c r="AA47" i="47"/>
  <c r="AB47" i="47" s="1"/>
  <c r="AA57" i="47"/>
  <c r="AB57" i="47" s="1"/>
  <c r="S63" i="47"/>
  <c r="AB36" i="47"/>
  <c r="AB54" i="47"/>
  <c r="AN35" i="47"/>
  <c r="AH35" i="47"/>
  <c r="AL35" i="47" s="1"/>
  <c r="AA24" i="47"/>
  <c r="AQ21" i="47"/>
  <c r="AR21" i="47" s="1"/>
  <c r="AO21" i="47"/>
  <c r="AP21" i="47" s="1"/>
  <c r="AO46" i="47"/>
  <c r="AP46" i="47" s="1"/>
  <c r="AQ46" i="47"/>
  <c r="AR46" i="47" s="1"/>
  <c r="AQ55" i="47"/>
  <c r="AR55" i="47" s="1"/>
  <c r="AO55" i="47"/>
  <c r="AP55" i="47" s="1"/>
  <c r="AH19" i="47"/>
  <c r="AL19" i="47" s="1"/>
  <c r="AQ19" i="47" s="1"/>
  <c r="AR19" i="47" s="1"/>
  <c r="AA20" i="47"/>
  <c r="AB20" i="47" s="1"/>
  <c r="AA22" i="47"/>
  <c r="AB22" i="47" s="1"/>
  <c r="AB24" i="47"/>
  <c r="AG34" i="47"/>
  <c r="AK34" i="47"/>
  <c r="AM52" i="47"/>
  <c r="AB39" i="47"/>
  <c r="AB29" i="47"/>
  <c r="AB26" i="47"/>
  <c r="AB53" i="47"/>
  <c r="AL14" i="47"/>
  <c r="AG58" i="47"/>
  <c r="AK58" i="47"/>
  <c r="AH57" i="47"/>
  <c r="AL57" i="47" s="1"/>
  <c r="AA44" i="47"/>
  <c r="AB44" i="47" s="1"/>
  <c r="AQ17" i="47"/>
  <c r="AR17" i="47" s="1"/>
  <c r="AO17" i="47"/>
  <c r="AP17" i="47" s="1"/>
  <c r="AB33" i="47"/>
  <c r="AB30" i="47"/>
  <c r="AA35" i="47"/>
  <c r="AB35" i="47" s="1"/>
  <c r="AJ63" i="47"/>
  <c r="Z14" i="47"/>
  <c r="Z63" i="47" s="1"/>
  <c r="Y14" i="47"/>
  <c r="X14" i="47"/>
  <c r="X63" i="47" s="1"/>
  <c r="AP59" i="46"/>
  <c r="AR59" i="46"/>
  <c r="AH37" i="46"/>
  <c r="AL37" i="46" s="1"/>
  <c r="AH35" i="46"/>
  <c r="AL35" i="46" s="1"/>
  <c r="AK25" i="46"/>
  <c r="AM52" i="46"/>
  <c r="AH43" i="46"/>
  <c r="AL43" i="46" s="1"/>
  <c r="AJ63" i="46"/>
  <c r="AH58" i="46"/>
  <c r="AL58" i="46" s="1"/>
  <c r="AA35" i="46"/>
  <c r="AB38" i="46"/>
  <c r="AB40" i="46"/>
  <c r="AA18" i="46"/>
  <c r="AB18" i="46" s="1"/>
  <c r="AA26" i="46"/>
  <c r="AB26" i="46" s="1"/>
  <c r="AA16" i="46"/>
  <c r="AA41" i="46"/>
  <c r="AB35" i="46"/>
  <c r="AQ35" i="46" s="1"/>
  <c r="AR35" i="46" s="1"/>
  <c r="AB50" i="46"/>
  <c r="AQ50" i="46" s="1"/>
  <c r="AR50" i="46" s="1"/>
  <c r="AA47" i="46"/>
  <c r="AB47" i="46" s="1"/>
  <c r="AA43" i="46"/>
  <c r="AB43" i="46" s="1"/>
  <c r="AA25" i="46"/>
  <c r="AB25" i="46" s="1"/>
  <c r="AO25" i="46" s="1"/>
  <c r="AP25" i="46" s="1"/>
  <c r="AB24" i="46"/>
  <c r="AO24" i="46" s="1"/>
  <c r="AP24" i="46" s="1"/>
  <c r="AA50" i="46"/>
  <c r="AA21" i="46"/>
  <c r="AA15" i="46"/>
  <c r="AB15" i="46" s="1"/>
  <c r="AB21" i="46"/>
  <c r="AB17" i="46"/>
  <c r="AO17" i="46" s="1"/>
  <c r="AP17" i="46" s="1"/>
  <c r="AA29" i="46"/>
  <c r="AA56" i="46"/>
  <c r="AA30" i="46"/>
  <c r="AB30" i="46" s="1"/>
  <c r="AA34" i="46"/>
  <c r="AA19" i="46"/>
  <c r="AB19" i="46" s="1"/>
  <c r="AA31" i="46"/>
  <c r="AB31" i="46" s="1"/>
  <c r="AB44" i="46"/>
  <c r="AB29" i="46"/>
  <c r="AQ29" i="46" s="1"/>
  <c r="AR29" i="46" s="1"/>
  <c r="AB57" i="46"/>
  <c r="AB56" i="46"/>
  <c r="AO56" i="46" s="1"/>
  <c r="AP56" i="46" s="1"/>
  <c r="AB33" i="46"/>
  <c r="AB41" i="46"/>
  <c r="AQ41" i="46" s="1"/>
  <c r="AR41" i="46" s="1"/>
  <c r="AQ40" i="46"/>
  <c r="AR40" i="46" s="1"/>
  <c r="AO40" i="46"/>
  <c r="AP40" i="46" s="1"/>
  <c r="AB54" i="46"/>
  <c r="AG53" i="46"/>
  <c r="AN53" i="46" s="1"/>
  <c r="AK53" i="46"/>
  <c r="Z14" i="46"/>
  <c r="Z63" i="46" s="1"/>
  <c r="W14" i="46"/>
  <c r="W63" i="46" s="1"/>
  <c r="X14" i="46"/>
  <c r="X63" i="46" s="1"/>
  <c r="Y14" i="46"/>
  <c r="V14" i="46"/>
  <c r="AM47" i="46"/>
  <c r="AN38" i="46"/>
  <c r="AH38" i="46"/>
  <c r="AL38" i="46" s="1"/>
  <c r="AQ38" i="46" s="1"/>
  <c r="AR38" i="46" s="1"/>
  <c r="AK46" i="46"/>
  <c r="AG46" i="46"/>
  <c r="AN46" i="46" s="1"/>
  <c r="AM55" i="46"/>
  <c r="AH55" i="46"/>
  <c r="AL55" i="46" s="1"/>
  <c r="AM53" i="46"/>
  <c r="AH53" i="46"/>
  <c r="AL53" i="46" s="1"/>
  <c r="AA55" i="46"/>
  <c r="AB55" i="46" s="1"/>
  <c r="AK30" i="46"/>
  <c r="AG30" i="46"/>
  <c r="AN30" i="46" s="1"/>
  <c r="AB16" i="46"/>
  <c r="AB22" i="46"/>
  <c r="AB49" i="46"/>
  <c r="AM21" i="46"/>
  <c r="AM46" i="46"/>
  <c r="AA39" i="46"/>
  <c r="AB39" i="46" s="1"/>
  <c r="AK21" i="46"/>
  <c r="AG21" i="46"/>
  <c r="AN21" i="46" s="1"/>
  <c r="AA23" i="46"/>
  <c r="AB23" i="46" s="1"/>
  <c r="AB36" i="46"/>
  <c r="AB34" i="46"/>
  <c r="AH31" i="46"/>
  <c r="AL31" i="46" s="1"/>
  <c r="AH42" i="46"/>
  <c r="AL42" i="46" s="1"/>
  <c r="AM30" i="46"/>
  <c r="AH15" i="46"/>
  <c r="AM27" i="46"/>
  <c r="AH27" i="46"/>
  <c r="AL27" i="46" s="1"/>
  <c r="AG28" i="46"/>
  <c r="AN28" i="46" s="1"/>
  <c r="AK28" i="46"/>
  <c r="AB37" i="46"/>
  <c r="AA28" i="46"/>
  <c r="AB28" i="46" s="1"/>
  <c r="S63" i="46"/>
  <c r="AN33" i="46"/>
  <c r="AH33" i="46"/>
  <c r="AL33" i="46" s="1"/>
  <c r="AN44" i="46"/>
  <c r="AH44" i="46"/>
  <c r="AL44" i="46" s="1"/>
  <c r="AB27" i="46"/>
  <c r="AN48" i="46"/>
  <c r="AH48" i="46"/>
  <c r="AL48" i="46" s="1"/>
  <c r="AQ24" i="46"/>
  <c r="AR24" i="46" s="1"/>
  <c r="AH51" i="46"/>
  <c r="AL51" i="46" s="1"/>
  <c r="AM28" i="46"/>
  <c r="AB32" i="46"/>
  <c r="AB20" i="46"/>
  <c r="AO45" i="46"/>
  <c r="AP45" i="46" s="1"/>
  <c r="AL45" i="46"/>
  <c r="AQ45" i="46" s="1"/>
  <c r="AR45" i="46" s="1"/>
  <c r="AA46" i="46"/>
  <c r="AB46" i="46" s="1"/>
  <c r="AH54" i="46"/>
  <c r="AL54" i="46" s="1"/>
  <c r="AG47" i="46"/>
  <c r="AN47" i="46" s="1"/>
  <c r="AK47" i="46"/>
  <c r="T63" i="46"/>
  <c r="AA48" i="46"/>
  <c r="AB48" i="46" s="1"/>
  <c r="AA53" i="46"/>
  <c r="AB53" i="46" s="1"/>
  <c r="AA51" i="46"/>
  <c r="AB51" i="46" s="1"/>
  <c r="AH49" i="46"/>
  <c r="AL49" i="46" s="1"/>
  <c r="AA42" i="46"/>
  <c r="AB42" i="46" s="1"/>
  <c r="E77" i="44"/>
  <c r="E78" i="44" s="1"/>
  <c r="D86" i="44" s="1"/>
  <c r="E89" i="45"/>
  <c r="F89" i="45" s="1"/>
  <c r="H90" i="33" s="1"/>
  <c r="L63" i="44"/>
  <c r="K63" i="44"/>
  <c r="I63" i="44"/>
  <c r="K66" i="44" s="1"/>
  <c r="H63" i="44"/>
  <c r="AI58" i="44"/>
  <c r="AJ58" i="44" s="1"/>
  <c r="AF58" i="44"/>
  <c r="AE58" i="44"/>
  <c r="X58" i="44"/>
  <c r="W58" i="44"/>
  <c r="V58" i="44"/>
  <c r="U58" i="44"/>
  <c r="Z58" i="44" s="1"/>
  <c r="AI57" i="44"/>
  <c r="AJ57" i="44" s="1"/>
  <c r="AF57" i="44"/>
  <c r="AE57" i="44"/>
  <c r="AG57" i="44" s="1"/>
  <c r="Z57" i="44"/>
  <c r="Y57" i="44"/>
  <c r="V57" i="44"/>
  <c r="U57" i="44"/>
  <c r="X57" i="44" s="1"/>
  <c r="AI56" i="44"/>
  <c r="AD56" i="44"/>
  <c r="AC56" i="44"/>
  <c r="R56" i="44"/>
  <c r="Q56" i="44"/>
  <c r="P56" i="44"/>
  <c r="O56" i="44"/>
  <c r="N56" i="44"/>
  <c r="U56" i="44" s="1"/>
  <c r="M56" i="44"/>
  <c r="V56" i="44" s="1"/>
  <c r="AI55" i="44"/>
  <c r="AD55" i="44"/>
  <c r="AC55" i="44"/>
  <c r="AF55" i="44" s="1"/>
  <c r="U55" i="44"/>
  <c r="R55" i="44"/>
  <c r="Q55" i="44"/>
  <c r="P55" i="44"/>
  <c r="O55" i="44"/>
  <c r="N55" i="44"/>
  <c r="M55" i="44"/>
  <c r="J55" i="44"/>
  <c r="AI54" i="44"/>
  <c r="AD54" i="44"/>
  <c r="AC54" i="44"/>
  <c r="R54" i="44"/>
  <c r="Q54" i="44"/>
  <c r="P54" i="44"/>
  <c r="O54" i="44"/>
  <c r="S54" i="44" s="1"/>
  <c r="N54" i="44"/>
  <c r="U54" i="44" s="1"/>
  <c r="M54" i="44"/>
  <c r="W54" i="44" s="1"/>
  <c r="AI53" i="44"/>
  <c r="AD53" i="44"/>
  <c r="AC53" i="44"/>
  <c r="AF53" i="44" s="1"/>
  <c r="R53" i="44"/>
  <c r="Q53" i="44"/>
  <c r="P53" i="44"/>
  <c r="O53" i="44"/>
  <c r="N53" i="44"/>
  <c r="U53" i="44" s="1"/>
  <c r="M53" i="44"/>
  <c r="W53" i="44" s="1"/>
  <c r="AI52" i="44"/>
  <c r="AD52" i="44"/>
  <c r="AC52" i="44"/>
  <c r="AF52" i="44" s="1"/>
  <c r="AM52" i="44" s="1"/>
  <c r="R52" i="44"/>
  <c r="Q52" i="44"/>
  <c r="P52" i="44"/>
  <c r="O52" i="44"/>
  <c r="N52" i="44"/>
  <c r="U52" i="44" s="1"/>
  <c r="M52" i="44"/>
  <c r="AI51" i="44"/>
  <c r="AD51" i="44"/>
  <c r="AC51" i="44"/>
  <c r="AF51" i="44" s="1"/>
  <c r="R51" i="44"/>
  <c r="Q51" i="44"/>
  <c r="P51" i="44"/>
  <c r="O51" i="44"/>
  <c r="N51" i="44"/>
  <c r="U51" i="44" s="1"/>
  <c r="M51" i="44"/>
  <c r="AI50" i="44"/>
  <c r="AJ50" i="44" s="1"/>
  <c r="AF50" i="44"/>
  <c r="AM50" i="44" s="1"/>
  <c r="AE50" i="44"/>
  <c r="X50" i="44"/>
  <c r="V50" i="44"/>
  <c r="U50" i="44"/>
  <c r="W50" i="44" s="1"/>
  <c r="S50" i="44"/>
  <c r="J50" i="44"/>
  <c r="AI49" i="44"/>
  <c r="AJ49" i="44" s="1"/>
  <c r="AG49" i="44"/>
  <c r="AN49" i="44" s="1"/>
  <c r="AF49" i="44"/>
  <c r="AE49" i="44"/>
  <c r="X49" i="44"/>
  <c r="W49" i="44"/>
  <c r="V49" i="44"/>
  <c r="U49" i="44"/>
  <c r="Z49" i="44" s="1"/>
  <c r="AI48" i="44"/>
  <c r="AD48" i="44"/>
  <c r="AC48" i="44"/>
  <c r="AF48" i="44" s="1"/>
  <c r="R48" i="44"/>
  <c r="Q48" i="44"/>
  <c r="P48" i="44"/>
  <c r="O48" i="44"/>
  <c r="N48" i="44"/>
  <c r="U48" i="44" s="1"/>
  <c r="M48" i="44"/>
  <c r="AI47" i="44"/>
  <c r="AD47" i="44"/>
  <c r="AC47" i="44"/>
  <c r="AF47" i="44" s="1"/>
  <c r="R47" i="44"/>
  <c r="Q47" i="44"/>
  <c r="P47" i="44"/>
  <c r="O47" i="44"/>
  <c r="N47" i="44"/>
  <c r="U47" i="44" s="1"/>
  <c r="M47" i="44"/>
  <c r="AI46" i="44"/>
  <c r="AD46" i="44"/>
  <c r="AC46" i="44"/>
  <c r="V46" i="44"/>
  <c r="R46" i="44"/>
  <c r="Q46" i="44"/>
  <c r="P46" i="44"/>
  <c r="O46" i="44"/>
  <c r="N46" i="44"/>
  <c r="U46" i="44" s="1"/>
  <c r="M46" i="44"/>
  <c r="J46" i="44"/>
  <c r="AI45" i="44"/>
  <c r="AJ45" i="44" s="1"/>
  <c r="AF45" i="44"/>
  <c r="AE45" i="44"/>
  <c r="AI44" i="44"/>
  <c r="AD44" i="44"/>
  <c r="AC44" i="44"/>
  <c r="AF44" i="44" s="1"/>
  <c r="R44" i="44"/>
  <c r="Q44" i="44"/>
  <c r="P44" i="44"/>
  <c r="O44" i="44"/>
  <c r="N44" i="44"/>
  <c r="U44" i="44" s="1"/>
  <c r="M44" i="44"/>
  <c r="AI43" i="44"/>
  <c r="AF43" i="44"/>
  <c r="AE43" i="44"/>
  <c r="AD43" i="44"/>
  <c r="AC43" i="44"/>
  <c r="AJ43" i="44" s="1"/>
  <c r="X43" i="44"/>
  <c r="R43" i="44"/>
  <c r="Q43" i="44"/>
  <c r="P43" i="44"/>
  <c r="O43" i="44"/>
  <c r="N43" i="44"/>
  <c r="U43" i="44" s="1"/>
  <c r="M43" i="44"/>
  <c r="V43" i="44" s="1"/>
  <c r="AI42" i="44"/>
  <c r="AD42" i="44"/>
  <c r="AC42" i="44"/>
  <c r="AF42" i="44" s="1"/>
  <c r="R42" i="44"/>
  <c r="Q42" i="44"/>
  <c r="P42" i="44"/>
  <c r="O42" i="44"/>
  <c r="N42" i="44"/>
  <c r="U42" i="44" s="1"/>
  <c r="M42" i="44"/>
  <c r="J42" i="44"/>
  <c r="AI41" i="44"/>
  <c r="AJ41" i="44" s="1"/>
  <c r="AG41" i="44"/>
  <c r="AH41" i="44" s="1"/>
  <c r="AL41" i="44" s="1"/>
  <c r="AF41" i="44"/>
  <c r="AE41" i="44"/>
  <c r="Y41" i="44"/>
  <c r="V41" i="44"/>
  <c r="U41" i="44"/>
  <c r="Z41" i="44" s="1"/>
  <c r="AK40" i="44"/>
  <c r="AI40" i="44"/>
  <c r="AJ40" i="44" s="1"/>
  <c r="AF40" i="44"/>
  <c r="AM40" i="44" s="1"/>
  <c r="AE40" i="44"/>
  <c r="AG40" i="44" s="1"/>
  <c r="V40" i="44"/>
  <c r="U40" i="44"/>
  <c r="Y40" i="44" s="1"/>
  <c r="AK39" i="44"/>
  <c r="AI39" i="44"/>
  <c r="AJ39" i="44" s="1"/>
  <c r="AG39" i="44"/>
  <c r="AN39" i="44" s="1"/>
  <c r="AF39" i="44"/>
  <c r="AE39" i="44"/>
  <c r="Y39" i="44"/>
  <c r="W39" i="44"/>
  <c r="V39" i="44"/>
  <c r="U39" i="44"/>
  <c r="Z39" i="44" s="1"/>
  <c r="AI38" i="44"/>
  <c r="AF38" i="44"/>
  <c r="AE38" i="44"/>
  <c r="AG38" i="44" s="1"/>
  <c r="AN38" i="44" s="1"/>
  <c r="Z38" i="44"/>
  <c r="V38" i="44"/>
  <c r="U38" i="44"/>
  <c r="X38" i="44" s="1"/>
  <c r="J38" i="44"/>
  <c r="AI37" i="44"/>
  <c r="AJ37" i="44" s="1"/>
  <c r="AG37" i="44"/>
  <c r="AN37" i="44" s="1"/>
  <c r="AF37" i="44"/>
  <c r="AE37" i="44"/>
  <c r="AK37" i="44" s="1"/>
  <c r="Y37" i="44"/>
  <c r="V37" i="44"/>
  <c r="U37" i="44"/>
  <c r="Z37" i="44" s="1"/>
  <c r="AI36" i="44"/>
  <c r="AF36" i="44"/>
  <c r="AE36" i="44"/>
  <c r="AG36" i="44" s="1"/>
  <c r="AN36" i="44" s="1"/>
  <c r="V36" i="44"/>
  <c r="U36" i="44"/>
  <c r="X36" i="44" s="1"/>
  <c r="AJ35" i="44"/>
  <c r="AI35" i="44"/>
  <c r="AF35" i="44"/>
  <c r="AE35" i="44"/>
  <c r="X35" i="44"/>
  <c r="W35" i="44"/>
  <c r="V35" i="44"/>
  <c r="U35" i="44"/>
  <c r="Y35" i="44" s="1"/>
  <c r="AI34" i="44"/>
  <c r="AJ34" i="44" s="1"/>
  <c r="AD34" i="44"/>
  <c r="AC34" i="44"/>
  <c r="R34" i="44"/>
  <c r="Q34" i="44"/>
  <c r="P34" i="44"/>
  <c r="O34" i="44"/>
  <c r="N34" i="44"/>
  <c r="U34" i="44" s="1"/>
  <c r="M34" i="44"/>
  <c r="AI33" i="44"/>
  <c r="AE33" i="44"/>
  <c r="AD33" i="44"/>
  <c r="AC33" i="44"/>
  <c r="AJ33" i="44" s="1"/>
  <c r="X33" i="44"/>
  <c r="R33" i="44"/>
  <c r="Q33" i="44"/>
  <c r="P33" i="44"/>
  <c r="O33" i="44"/>
  <c r="N33" i="44"/>
  <c r="U33" i="44" s="1"/>
  <c r="M33" i="44"/>
  <c r="W33" i="44" s="1"/>
  <c r="J33" i="44"/>
  <c r="AI32" i="44"/>
  <c r="AJ32" i="44" s="1"/>
  <c r="AF32" i="44"/>
  <c r="AM32" i="44" s="1"/>
  <c r="AE32" i="44"/>
  <c r="Y32" i="44"/>
  <c r="X32" i="44"/>
  <c r="V32" i="44"/>
  <c r="U32" i="44"/>
  <c r="W32" i="44" s="1"/>
  <c r="AI31" i="44"/>
  <c r="AF31" i="44"/>
  <c r="AM31" i="44" s="1"/>
  <c r="AD31" i="44"/>
  <c r="AC31" i="44"/>
  <c r="R31" i="44"/>
  <c r="Q31" i="44"/>
  <c r="P31" i="44"/>
  <c r="O31" i="44"/>
  <c r="N31" i="44"/>
  <c r="U31" i="44" s="1"/>
  <c r="M31" i="44"/>
  <c r="AI30" i="44"/>
  <c r="AD30" i="44"/>
  <c r="AC30" i="44"/>
  <c r="AF30" i="44" s="1"/>
  <c r="V30" i="44"/>
  <c r="R30" i="44"/>
  <c r="Q30" i="44"/>
  <c r="P30" i="44"/>
  <c r="O30" i="44"/>
  <c r="S30" i="44" s="1"/>
  <c r="N30" i="44"/>
  <c r="U30" i="44" s="1"/>
  <c r="M30" i="44"/>
  <c r="J30" i="44"/>
  <c r="AI29" i="44"/>
  <c r="AK29" i="44" s="1"/>
  <c r="AG29" i="44"/>
  <c r="AN29" i="44" s="1"/>
  <c r="AF29" i="44"/>
  <c r="AE29" i="44"/>
  <c r="Z29" i="44"/>
  <c r="V29" i="44"/>
  <c r="U29" i="44"/>
  <c r="AI28" i="44"/>
  <c r="AD28" i="44"/>
  <c r="AC28" i="44"/>
  <c r="AJ28" i="44" s="1"/>
  <c r="R28" i="44"/>
  <c r="Q28" i="44"/>
  <c r="P28" i="44"/>
  <c r="T28" i="44" s="1"/>
  <c r="O28" i="44"/>
  <c r="N28" i="44"/>
  <c r="U28" i="44" s="1"/>
  <c r="M28" i="44"/>
  <c r="V28" i="44" s="1"/>
  <c r="AI27" i="44"/>
  <c r="AD27" i="44"/>
  <c r="AC27" i="44"/>
  <c r="AF27" i="44" s="1"/>
  <c r="S27" i="44"/>
  <c r="R27" i="44"/>
  <c r="Q27" i="44"/>
  <c r="P27" i="44"/>
  <c r="O27" i="44"/>
  <c r="N27" i="44"/>
  <c r="U27" i="44" s="1"/>
  <c r="M27" i="44"/>
  <c r="W27" i="44" s="1"/>
  <c r="J27" i="44"/>
  <c r="AI26" i="44"/>
  <c r="AJ26" i="44" s="1"/>
  <c r="AF26" i="44"/>
  <c r="AE26" i="44"/>
  <c r="AK26" i="44" s="1"/>
  <c r="X26" i="44"/>
  <c r="W26" i="44"/>
  <c r="V26" i="44"/>
  <c r="U26" i="44"/>
  <c r="Z26" i="44" s="1"/>
  <c r="AI25" i="44"/>
  <c r="AK25" i="44" s="1"/>
  <c r="AF25" i="44"/>
  <c r="AE25" i="44"/>
  <c r="AG25" i="44" s="1"/>
  <c r="Z25" i="44"/>
  <c r="Y25" i="44"/>
  <c r="AA25" i="44" s="1"/>
  <c r="V25" i="44"/>
  <c r="U25" i="44"/>
  <c r="X25" i="44" s="1"/>
  <c r="AI24" i="44"/>
  <c r="AD24" i="44"/>
  <c r="AC24" i="44"/>
  <c r="R24" i="44"/>
  <c r="Q24" i="44"/>
  <c r="P24" i="44"/>
  <c r="O24" i="44"/>
  <c r="N24" i="44"/>
  <c r="U24" i="44" s="1"/>
  <c r="M24" i="44"/>
  <c r="V24" i="44" s="1"/>
  <c r="J24" i="44"/>
  <c r="AI23" i="44"/>
  <c r="AJ23" i="44" s="1"/>
  <c r="AF23" i="44"/>
  <c r="AE23" i="44"/>
  <c r="AG23" i="44" s="1"/>
  <c r="Z23" i="44"/>
  <c r="V23" i="44"/>
  <c r="U23" i="44"/>
  <c r="Y23" i="44" s="1"/>
  <c r="S23" i="44"/>
  <c r="AI22" i="44"/>
  <c r="AJ22" i="44" s="1"/>
  <c r="AF22" i="44"/>
  <c r="AE22" i="44"/>
  <c r="Z22" i="44"/>
  <c r="X22" i="44"/>
  <c r="W22" i="44"/>
  <c r="V22" i="44"/>
  <c r="U22" i="44"/>
  <c r="Y22" i="44" s="1"/>
  <c r="AI21" i="44"/>
  <c r="AD21" i="44"/>
  <c r="AC21" i="44"/>
  <c r="AF21" i="44" s="1"/>
  <c r="R21" i="44"/>
  <c r="Q21" i="44"/>
  <c r="P21" i="44"/>
  <c r="O21" i="44"/>
  <c r="N21" i="44"/>
  <c r="U21" i="44" s="1"/>
  <c r="M21" i="44"/>
  <c r="J21" i="44"/>
  <c r="AI20" i="44"/>
  <c r="AJ20" i="44" s="1"/>
  <c r="AG20" i="44"/>
  <c r="AN20" i="44" s="1"/>
  <c r="AF20" i="44"/>
  <c r="AH20" i="44" s="1"/>
  <c r="AL20" i="44" s="1"/>
  <c r="AE20" i="44"/>
  <c r="V20" i="44"/>
  <c r="U20" i="44"/>
  <c r="AI19" i="44"/>
  <c r="AJ19" i="44" s="1"/>
  <c r="AF19" i="44"/>
  <c r="AE19" i="44"/>
  <c r="AG19" i="44" s="1"/>
  <c r="AN19" i="44" s="1"/>
  <c r="V19" i="44"/>
  <c r="U19" i="44"/>
  <c r="Y19" i="44" s="1"/>
  <c r="S19" i="44"/>
  <c r="AI18" i="44"/>
  <c r="AF18" i="44"/>
  <c r="AM18" i="44" s="1"/>
  <c r="AE18" i="44"/>
  <c r="AK18" i="44" s="1"/>
  <c r="AD18" i="44"/>
  <c r="AC18" i="44"/>
  <c r="AJ18" i="44" s="1"/>
  <c r="R18" i="44"/>
  <c r="Q18" i="44"/>
  <c r="P18" i="44"/>
  <c r="O18" i="44"/>
  <c r="N18" i="44"/>
  <c r="U18" i="44" s="1"/>
  <c r="M18" i="44"/>
  <c r="J18" i="44"/>
  <c r="AI17" i="44"/>
  <c r="AJ17" i="44" s="1"/>
  <c r="AF17" i="44"/>
  <c r="AE17" i="44"/>
  <c r="AG17" i="44" s="1"/>
  <c r="W17" i="44"/>
  <c r="V17" i="44"/>
  <c r="U17" i="44"/>
  <c r="Z17" i="44" s="1"/>
  <c r="AI16" i="44"/>
  <c r="AJ16" i="44" s="1"/>
  <c r="AG16" i="44"/>
  <c r="AN16" i="44" s="1"/>
  <c r="AF16" i="44"/>
  <c r="AE16" i="44"/>
  <c r="Z16" i="44"/>
  <c r="X16" i="44"/>
  <c r="W16" i="44"/>
  <c r="V16" i="44"/>
  <c r="U16" i="44"/>
  <c r="Y16" i="44" s="1"/>
  <c r="AA16" i="44" s="1"/>
  <c r="S16" i="44"/>
  <c r="AI15" i="44"/>
  <c r="AD15" i="44"/>
  <c r="AC15" i="44"/>
  <c r="AF15" i="44" s="1"/>
  <c r="R15" i="44"/>
  <c r="Q15" i="44"/>
  <c r="P15" i="44"/>
  <c r="O15" i="44"/>
  <c r="S15" i="44" s="1"/>
  <c r="N15" i="44"/>
  <c r="U15" i="44" s="1"/>
  <c r="M15" i="44"/>
  <c r="AI14" i="44"/>
  <c r="AF14" i="44"/>
  <c r="AM14" i="44" s="1"/>
  <c r="AD14" i="44"/>
  <c r="AC14" i="44"/>
  <c r="R14" i="44"/>
  <c r="R63" i="44" s="1"/>
  <c r="Q14" i="44"/>
  <c r="P14" i="44"/>
  <c r="O14" i="44"/>
  <c r="S14" i="44" s="1"/>
  <c r="N14" i="44"/>
  <c r="M14" i="44"/>
  <c r="J14" i="44"/>
  <c r="Q4" i="44"/>
  <c r="T44" i="44" s="1"/>
  <c r="Q3" i="44"/>
  <c r="S26" i="44" s="1"/>
  <c r="L63" i="45"/>
  <c r="K63" i="45"/>
  <c r="K67" i="45" s="1"/>
  <c r="I63" i="45"/>
  <c r="K66" i="45" s="1"/>
  <c r="H63" i="45"/>
  <c r="AI58" i="45"/>
  <c r="AJ58" i="45" s="1"/>
  <c r="AF58" i="45"/>
  <c r="AE58" i="45"/>
  <c r="V58" i="45"/>
  <c r="U58" i="45"/>
  <c r="X58" i="45" s="1"/>
  <c r="AI57" i="45"/>
  <c r="AJ57" i="45" s="1"/>
  <c r="AF57" i="45"/>
  <c r="AM57" i="45" s="1"/>
  <c r="AE57" i="45"/>
  <c r="AG57" i="45" s="1"/>
  <c r="Z57" i="45"/>
  <c r="Y57" i="45"/>
  <c r="AA57" i="45" s="1"/>
  <c r="V57" i="45"/>
  <c r="U57" i="45"/>
  <c r="X57" i="45" s="1"/>
  <c r="AI56" i="45"/>
  <c r="AF56" i="45"/>
  <c r="AD56" i="45"/>
  <c r="AC56" i="45"/>
  <c r="R56" i="45"/>
  <c r="Q56" i="45"/>
  <c r="P56" i="45"/>
  <c r="O56" i="45"/>
  <c r="N56" i="45"/>
  <c r="U56" i="45" s="1"/>
  <c r="M56" i="45"/>
  <c r="AI55" i="45"/>
  <c r="AD55" i="45"/>
  <c r="AC55" i="45"/>
  <c r="AF55" i="45" s="1"/>
  <c r="R55" i="45"/>
  <c r="Q55" i="45"/>
  <c r="P55" i="45"/>
  <c r="O55" i="45"/>
  <c r="N55" i="45"/>
  <c r="U55" i="45" s="1"/>
  <c r="M55" i="45"/>
  <c r="J55" i="45"/>
  <c r="AI54" i="45"/>
  <c r="AD54" i="45"/>
  <c r="AC54" i="45"/>
  <c r="R54" i="45"/>
  <c r="Q54" i="45"/>
  <c r="P54" i="45"/>
  <c r="O54" i="45"/>
  <c r="N54" i="45"/>
  <c r="U54" i="45" s="1"/>
  <c r="M54" i="45"/>
  <c r="V54" i="45" s="1"/>
  <c r="AI53" i="45"/>
  <c r="AD53" i="45"/>
  <c r="AC53" i="45"/>
  <c r="AF53" i="45" s="1"/>
  <c r="R53" i="45"/>
  <c r="Q53" i="45"/>
  <c r="P53" i="45"/>
  <c r="O53" i="45"/>
  <c r="N53" i="45"/>
  <c r="U53" i="45" s="1"/>
  <c r="M53" i="45"/>
  <c r="AI52" i="45"/>
  <c r="AD52" i="45"/>
  <c r="AC52" i="45"/>
  <c r="R52" i="45"/>
  <c r="Q52" i="45"/>
  <c r="P52" i="45"/>
  <c r="O52" i="45"/>
  <c r="N52" i="45"/>
  <c r="U52" i="45" s="1"/>
  <c r="M52" i="45"/>
  <c r="AI51" i="45"/>
  <c r="AD51" i="45"/>
  <c r="AC51" i="45"/>
  <c r="R51" i="45"/>
  <c r="Q51" i="45"/>
  <c r="P51" i="45"/>
  <c r="O51" i="45"/>
  <c r="N51" i="45"/>
  <c r="U51" i="45" s="1"/>
  <c r="M51" i="45"/>
  <c r="V51" i="45" s="1"/>
  <c r="AI50" i="45"/>
  <c r="AJ50" i="45" s="1"/>
  <c r="AF50" i="45"/>
  <c r="AM50" i="45" s="1"/>
  <c r="AE50" i="45"/>
  <c r="AG50" i="45" s="1"/>
  <c r="X50" i="45"/>
  <c r="V50" i="45"/>
  <c r="U50" i="45"/>
  <c r="Y50" i="45" s="1"/>
  <c r="J50" i="45"/>
  <c r="AI49" i="45"/>
  <c r="AJ49" i="45" s="1"/>
  <c r="AF49" i="45"/>
  <c r="AE49" i="45"/>
  <c r="AK49" i="45" s="1"/>
  <c r="V49" i="45"/>
  <c r="U49" i="45"/>
  <c r="AI48" i="45"/>
  <c r="AF48" i="45"/>
  <c r="AM48" i="45" s="1"/>
  <c r="AD48" i="45"/>
  <c r="AE48" i="45" s="1"/>
  <c r="AG48" i="45" s="1"/>
  <c r="AC48" i="45"/>
  <c r="R48" i="45"/>
  <c r="Q48" i="45"/>
  <c r="P48" i="45"/>
  <c r="O48" i="45"/>
  <c r="N48" i="45"/>
  <c r="U48" i="45" s="1"/>
  <c r="M48" i="45"/>
  <c r="W48" i="45" s="1"/>
  <c r="AI47" i="45"/>
  <c r="AD47" i="45"/>
  <c r="AE47" i="45" s="1"/>
  <c r="AK47" i="45" s="1"/>
  <c r="AC47" i="45"/>
  <c r="AJ47" i="45" s="1"/>
  <c r="R47" i="45"/>
  <c r="Q47" i="45"/>
  <c r="P47" i="45"/>
  <c r="O47" i="45"/>
  <c r="N47" i="45"/>
  <c r="U47" i="45" s="1"/>
  <c r="M47" i="45"/>
  <c r="AI46" i="45"/>
  <c r="AD46" i="45"/>
  <c r="AC46" i="45"/>
  <c r="R46" i="45"/>
  <c r="Q46" i="45"/>
  <c r="P46" i="45"/>
  <c r="O46" i="45"/>
  <c r="N46" i="45"/>
  <c r="U46" i="45" s="1"/>
  <c r="M46" i="45"/>
  <c r="W46" i="45" s="1"/>
  <c r="J46" i="45"/>
  <c r="AI45" i="45"/>
  <c r="AJ45" i="45" s="1"/>
  <c r="AF45" i="45"/>
  <c r="AE45" i="45"/>
  <c r="AI44" i="45"/>
  <c r="AD44" i="45"/>
  <c r="AC44" i="45"/>
  <c r="AJ44" i="45" s="1"/>
  <c r="R44" i="45"/>
  <c r="Q44" i="45"/>
  <c r="P44" i="45"/>
  <c r="O44" i="45"/>
  <c r="N44" i="45"/>
  <c r="U44" i="45" s="1"/>
  <c r="M44" i="45"/>
  <c r="AI43" i="45"/>
  <c r="AD43" i="45"/>
  <c r="AC43" i="45"/>
  <c r="Z43" i="45"/>
  <c r="R43" i="45"/>
  <c r="Q43" i="45"/>
  <c r="P43" i="45"/>
  <c r="O43" i="45"/>
  <c r="N43" i="45"/>
  <c r="U43" i="45" s="1"/>
  <c r="M43" i="45"/>
  <c r="V43" i="45" s="1"/>
  <c r="AI42" i="45"/>
  <c r="AF42" i="45"/>
  <c r="AM42" i="45" s="1"/>
  <c r="AD42" i="45"/>
  <c r="AC42" i="45"/>
  <c r="X42" i="45"/>
  <c r="R42" i="45"/>
  <c r="Q42" i="45"/>
  <c r="P42" i="45"/>
  <c r="O42" i="45"/>
  <c r="N42" i="45"/>
  <c r="U42" i="45" s="1"/>
  <c r="M42" i="45"/>
  <c r="V42" i="45" s="1"/>
  <c r="J42" i="45"/>
  <c r="AI41" i="45"/>
  <c r="AJ41" i="45" s="1"/>
  <c r="AF41" i="45"/>
  <c r="AE41" i="45"/>
  <c r="W41" i="45"/>
  <c r="V41" i="45"/>
  <c r="U41" i="45"/>
  <c r="Y41" i="45" s="1"/>
  <c r="AI40" i="45"/>
  <c r="AJ40" i="45" s="1"/>
  <c r="AF40" i="45"/>
  <c r="AE40" i="45"/>
  <c r="V40" i="45"/>
  <c r="U40" i="45"/>
  <c r="Y40" i="45" s="1"/>
  <c r="AI39" i="45"/>
  <c r="AJ39" i="45" s="1"/>
  <c r="AH39" i="45"/>
  <c r="AL39" i="45" s="1"/>
  <c r="AF39" i="45"/>
  <c r="AE39" i="45"/>
  <c r="AG39" i="45" s="1"/>
  <c r="Y39" i="45"/>
  <c r="V39" i="45"/>
  <c r="U39" i="45"/>
  <c r="AI38" i="45"/>
  <c r="AJ38" i="45" s="1"/>
  <c r="AF38" i="45"/>
  <c r="AE38" i="45"/>
  <c r="AG38" i="45" s="1"/>
  <c r="Y38" i="45"/>
  <c r="X38" i="45"/>
  <c r="V38" i="45"/>
  <c r="U38" i="45"/>
  <c r="J38" i="45"/>
  <c r="AI37" i="45"/>
  <c r="AJ37" i="45" s="1"/>
  <c r="AF37" i="45"/>
  <c r="AM37" i="45" s="1"/>
  <c r="AE37" i="45"/>
  <c r="AG37" i="45" s="1"/>
  <c r="AN37" i="45" s="1"/>
  <c r="Z37" i="45"/>
  <c r="V37" i="45"/>
  <c r="U37" i="45"/>
  <c r="AI36" i="45"/>
  <c r="AJ36" i="45" s="1"/>
  <c r="AF36" i="45"/>
  <c r="AE36" i="45"/>
  <c r="V36" i="45"/>
  <c r="U36" i="45"/>
  <c r="AK35" i="45"/>
  <c r="AJ35" i="45"/>
  <c r="AI35" i="45"/>
  <c r="AG35" i="45"/>
  <c r="AN35" i="45" s="1"/>
  <c r="AF35" i="45"/>
  <c r="AE35" i="45"/>
  <c r="Y35" i="45"/>
  <c r="X35" i="45"/>
  <c r="V35" i="45"/>
  <c r="U35" i="45"/>
  <c r="AI34" i="45"/>
  <c r="AD34" i="45"/>
  <c r="AC34" i="45"/>
  <c r="R34" i="45"/>
  <c r="Q34" i="45"/>
  <c r="P34" i="45"/>
  <c r="O34" i="45"/>
  <c r="N34" i="45"/>
  <c r="U34" i="45" s="1"/>
  <c r="M34" i="45"/>
  <c r="AI33" i="45"/>
  <c r="AJ33" i="45" s="1"/>
  <c r="AD33" i="45"/>
  <c r="AC33" i="45"/>
  <c r="R33" i="45"/>
  <c r="Q33" i="45"/>
  <c r="P33" i="45"/>
  <c r="O33" i="45"/>
  <c r="N33" i="45"/>
  <c r="U33" i="45" s="1"/>
  <c r="M33" i="45"/>
  <c r="J33" i="45"/>
  <c r="AI32" i="45"/>
  <c r="AJ32" i="45" s="1"/>
  <c r="AF32" i="45"/>
  <c r="AE32" i="45"/>
  <c r="Z32" i="45"/>
  <c r="X32" i="45"/>
  <c r="W32" i="45"/>
  <c r="V32" i="45"/>
  <c r="U32" i="45"/>
  <c r="Y32" i="45" s="1"/>
  <c r="S32" i="45"/>
  <c r="AI31" i="45"/>
  <c r="AD31" i="45"/>
  <c r="AC31" i="45"/>
  <c r="R31" i="45"/>
  <c r="Q31" i="45"/>
  <c r="P31" i="45"/>
  <c r="O31" i="45"/>
  <c r="N31" i="45"/>
  <c r="U31" i="45" s="1"/>
  <c r="M31" i="45"/>
  <c r="AI30" i="45"/>
  <c r="AD30" i="45"/>
  <c r="AC30" i="45"/>
  <c r="AF30" i="45" s="1"/>
  <c r="AM30" i="45" s="1"/>
  <c r="R30" i="45"/>
  <c r="Q30" i="45"/>
  <c r="P30" i="45"/>
  <c r="T30" i="45" s="1"/>
  <c r="O30" i="45"/>
  <c r="N30" i="45"/>
  <c r="U30" i="45" s="1"/>
  <c r="M30" i="45"/>
  <c r="J30" i="45"/>
  <c r="AI29" i="45"/>
  <c r="AK29" i="45" s="1"/>
  <c r="AG29" i="45"/>
  <c r="AN29" i="45" s="1"/>
  <c r="AF29" i="45"/>
  <c r="AH29" i="45" s="1"/>
  <c r="AL29" i="45" s="1"/>
  <c r="AE29" i="45"/>
  <c r="V29" i="45"/>
  <c r="U29" i="45"/>
  <c r="AI28" i="45"/>
  <c r="AD28" i="45"/>
  <c r="AC28" i="45"/>
  <c r="R28" i="45"/>
  <c r="Q28" i="45"/>
  <c r="P28" i="45"/>
  <c r="T28" i="45" s="1"/>
  <c r="O28" i="45"/>
  <c r="N28" i="45"/>
  <c r="U28" i="45" s="1"/>
  <c r="M28" i="45"/>
  <c r="V28" i="45" s="1"/>
  <c r="AM27" i="45"/>
  <c r="AI27" i="45"/>
  <c r="AF27" i="45"/>
  <c r="AE27" i="45"/>
  <c r="AD27" i="45"/>
  <c r="AC27" i="45"/>
  <c r="AJ27" i="45" s="1"/>
  <c r="R27" i="45"/>
  <c r="Q27" i="45"/>
  <c r="P27" i="45"/>
  <c r="O27" i="45"/>
  <c r="N27" i="45"/>
  <c r="U27" i="45" s="1"/>
  <c r="Y27" i="45" s="1"/>
  <c r="M27" i="45"/>
  <c r="J27" i="45"/>
  <c r="AI26" i="45"/>
  <c r="AJ26" i="45" s="1"/>
  <c r="AF26" i="45"/>
  <c r="AE26" i="45"/>
  <c r="AG26" i="45" s="1"/>
  <c r="AN26" i="45" s="1"/>
  <c r="V26" i="45"/>
  <c r="U26" i="45"/>
  <c r="AI25" i="45"/>
  <c r="AK25" i="45" s="1"/>
  <c r="AG25" i="45"/>
  <c r="AH25" i="45" s="1"/>
  <c r="AL25" i="45" s="1"/>
  <c r="AF25" i="45"/>
  <c r="AE25" i="45"/>
  <c r="Y25" i="45"/>
  <c r="X25" i="45"/>
  <c r="V25" i="45"/>
  <c r="U25" i="45"/>
  <c r="W25" i="45" s="1"/>
  <c r="AI24" i="45"/>
  <c r="AD24" i="45"/>
  <c r="AC24" i="45"/>
  <c r="R24" i="45"/>
  <c r="Q24" i="45"/>
  <c r="P24" i="45"/>
  <c r="O24" i="45"/>
  <c r="S24" i="45" s="1"/>
  <c r="N24" i="45"/>
  <c r="U24" i="45" s="1"/>
  <c r="M24" i="45"/>
  <c r="J24" i="45"/>
  <c r="AI23" i="45"/>
  <c r="AJ23" i="45" s="1"/>
  <c r="AF23" i="45"/>
  <c r="AE23" i="45"/>
  <c r="X23" i="45"/>
  <c r="W23" i="45"/>
  <c r="V23" i="45"/>
  <c r="U23" i="45"/>
  <c r="Z23" i="45" s="1"/>
  <c r="AI22" i="45"/>
  <c r="AF22" i="45"/>
  <c r="AE22" i="45"/>
  <c r="AG22" i="45" s="1"/>
  <c r="V22" i="45"/>
  <c r="U22" i="45"/>
  <c r="AI21" i="45"/>
  <c r="AD21" i="45"/>
  <c r="AC21" i="45"/>
  <c r="S21" i="45"/>
  <c r="R21" i="45"/>
  <c r="Q21" i="45"/>
  <c r="P21" i="45"/>
  <c r="T21" i="45" s="1"/>
  <c r="O21" i="45"/>
  <c r="N21" i="45"/>
  <c r="U21" i="45" s="1"/>
  <c r="M21" i="45"/>
  <c r="J21" i="45"/>
  <c r="AI20" i="45"/>
  <c r="AJ20" i="45" s="1"/>
  <c r="AF20" i="45"/>
  <c r="AE20" i="45"/>
  <c r="V20" i="45"/>
  <c r="U20" i="45"/>
  <c r="Z20" i="45" s="1"/>
  <c r="AI19" i="45"/>
  <c r="AJ19" i="45" s="1"/>
  <c r="AF19" i="45"/>
  <c r="AE19" i="45"/>
  <c r="AG19" i="45" s="1"/>
  <c r="Y19" i="45"/>
  <c r="V19" i="45"/>
  <c r="U19" i="45"/>
  <c r="AI18" i="45"/>
  <c r="AD18" i="45"/>
  <c r="AC18" i="45"/>
  <c r="AJ18" i="45" s="1"/>
  <c r="R18" i="45"/>
  <c r="Q18" i="45"/>
  <c r="P18" i="45"/>
  <c r="O18" i="45"/>
  <c r="S18" i="45" s="1"/>
  <c r="N18" i="45"/>
  <c r="U18" i="45" s="1"/>
  <c r="M18" i="45"/>
  <c r="J18" i="45"/>
  <c r="AI17" i="45"/>
  <c r="AJ17" i="45" s="1"/>
  <c r="AF17" i="45"/>
  <c r="AE17" i="45"/>
  <c r="AG17" i="45" s="1"/>
  <c r="V17" i="45"/>
  <c r="U17" i="45"/>
  <c r="X17" i="45" s="1"/>
  <c r="AI16" i="45"/>
  <c r="AJ16" i="45" s="1"/>
  <c r="AF16" i="45"/>
  <c r="AM16" i="45" s="1"/>
  <c r="AE16" i="45"/>
  <c r="Y16" i="45"/>
  <c r="V16" i="45"/>
  <c r="U16" i="45"/>
  <c r="Z16" i="45" s="1"/>
  <c r="AI15" i="45"/>
  <c r="AD15" i="45"/>
  <c r="AC15" i="45"/>
  <c r="AF15" i="45" s="1"/>
  <c r="AM15" i="45" s="1"/>
  <c r="R15" i="45"/>
  <c r="Q15" i="45"/>
  <c r="P15" i="45"/>
  <c r="T15" i="45" s="1"/>
  <c r="O15" i="45"/>
  <c r="N15" i="45"/>
  <c r="U15" i="45" s="1"/>
  <c r="M15" i="45"/>
  <c r="AI14" i="45"/>
  <c r="AE14" i="45"/>
  <c r="AK14" i="45" s="1"/>
  <c r="AD14" i="45"/>
  <c r="AC14" i="45"/>
  <c r="AJ14" i="45" s="1"/>
  <c r="T14" i="45"/>
  <c r="R14" i="45"/>
  <c r="Q14" i="45"/>
  <c r="P14" i="45"/>
  <c r="O14" i="45"/>
  <c r="N14" i="45"/>
  <c r="M14" i="45"/>
  <c r="J14" i="45"/>
  <c r="Q4" i="45"/>
  <c r="T41" i="45" s="1"/>
  <c r="Q3" i="45"/>
  <c r="S40" i="45" s="1"/>
  <c r="AQ48" i="47" l="1"/>
  <c r="AR48" i="47" s="1"/>
  <c r="AO48" i="47"/>
  <c r="AP48" i="47" s="1"/>
  <c r="AQ58" i="46"/>
  <c r="AR58" i="46" s="1"/>
  <c r="AN39" i="46"/>
  <c r="AH39" i="46"/>
  <c r="AL39" i="46" s="1"/>
  <c r="AQ39" i="46" s="1"/>
  <c r="AR39" i="46" s="1"/>
  <c r="AQ23" i="47"/>
  <c r="AR23" i="47" s="1"/>
  <c r="AH52" i="46"/>
  <c r="AL52" i="46" s="1"/>
  <c r="AQ52" i="46" s="1"/>
  <c r="AR52" i="46" s="1"/>
  <c r="AK63" i="47"/>
  <c r="AH59" i="47"/>
  <c r="AN59" i="47"/>
  <c r="AH47" i="47"/>
  <c r="AL47" i="47" s="1"/>
  <c r="AQ47" i="47" s="1"/>
  <c r="AR47" i="47" s="1"/>
  <c r="AN34" i="46"/>
  <c r="AN63" i="46" s="1"/>
  <c r="E86" i="46" s="1"/>
  <c r="F86" i="46" s="1"/>
  <c r="AH34" i="46"/>
  <c r="AL34" i="46" s="1"/>
  <c r="AN15" i="47"/>
  <c r="AH15" i="47"/>
  <c r="AL15" i="47" s="1"/>
  <c r="AN38" i="47"/>
  <c r="AH38" i="47"/>
  <c r="AL38" i="47" s="1"/>
  <c r="AQ38" i="47" s="1"/>
  <c r="AR38" i="47" s="1"/>
  <c r="AO35" i="46"/>
  <c r="AP35" i="46" s="1"/>
  <c r="AO51" i="47"/>
  <c r="AP51" i="47" s="1"/>
  <c r="AL60" i="46"/>
  <c r="AQ60" i="46" s="1"/>
  <c r="AR60" i="46" s="1"/>
  <c r="AO60" i="46"/>
  <c r="AP60" i="46" s="1"/>
  <c r="AH57" i="46"/>
  <c r="AL57" i="46" s="1"/>
  <c r="AQ57" i="46" s="1"/>
  <c r="AR57" i="46" s="1"/>
  <c r="AM63" i="47"/>
  <c r="AO43" i="47"/>
  <c r="AP43" i="47" s="1"/>
  <c r="AN60" i="47"/>
  <c r="AH60" i="47"/>
  <c r="AQ57" i="47"/>
  <c r="AR57" i="47" s="1"/>
  <c r="AO57" i="47"/>
  <c r="AP57" i="47" s="1"/>
  <c r="AO35" i="47"/>
  <c r="AP35" i="47" s="1"/>
  <c r="AQ35" i="47"/>
  <c r="AR35" i="47" s="1"/>
  <c r="AQ44" i="47"/>
  <c r="AR44" i="47" s="1"/>
  <c r="AO44" i="47"/>
  <c r="AP44" i="47" s="1"/>
  <c r="AO22" i="47"/>
  <c r="AP22" i="47" s="1"/>
  <c r="AQ22" i="47"/>
  <c r="AR22" i="47" s="1"/>
  <c r="AQ30" i="47"/>
  <c r="AR30" i="47" s="1"/>
  <c r="AO30" i="47"/>
  <c r="AP30" i="47" s="1"/>
  <c r="AQ53" i="47"/>
  <c r="AR53" i="47" s="1"/>
  <c r="AO53" i="47"/>
  <c r="AP53" i="47" s="1"/>
  <c r="AN34" i="47"/>
  <c r="AH34" i="47"/>
  <c r="AL34" i="47" s="1"/>
  <c r="AQ34" i="47" s="1"/>
  <c r="AR34" i="47" s="1"/>
  <c r="AN49" i="47"/>
  <c r="AH49" i="47"/>
  <c r="AQ25" i="47"/>
  <c r="AR25" i="47" s="1"/>
  <c r="AO25" i="47"/>
  <c r="AP25" i="47" s="1"/>
  <c r="AQ33" i="47"/>
  <c r="AR33" i="47" s="1"/>
  <c r="AO33" i="47"/>
  <c r="AP33" i="47" s="1"/>
  <c r="AQ26" i="47"/>
  <c r="AR26" i="47" s="1"/>
  <c r="AO26" i="47"/>
  <c r="AP26" i="47" s="1"/>
  <c r="AQ24" i="47"/>
  <c r="AR24" i="47" s="1"/>
  <c r="AO24" i="47"/>
  <c r="AP24" i="47" s="1"/>
  <c r="AQ15" i="47"/>
  <c r="AR15" i="47" s="1"/>
  <c r="AO15" i="47"/>
  <c r="AP15" i="47" s="1"/>
  <c r="AN58" i="47"/>
  <c r="AH58" i="47"/>
  <c r="AL58" i="47" s="1"/>
  <c r="AQ58" i="47" s="1"/>
  <c r="AR58" i="47" s="1"/>
  <c r="AQ29" i="47"/>
  <c r="AR29" i="47" s="1"/>
  <c r="AO29" i="47"/>
  <c r="AP29" i="47" s="1"/>
  <c r="AH20" i="47"/>
  <c r="AO20" i="47" s="1"/>
  <c r="AP20" i="47" s="1"/>
  <c r="AQ42" i="47"/>
  <c r="AR42" i="47" s="1"/>
  <c r="AO42" i="47"/>
  <c r="AP42" i="47" s="1"/>
  <c r="Y63" i="47"/>
  <c r="AA14" i="47"/>
  <c r="AQ54" i="47"/>
  <c r="AR54" i="47" s="1"/>
  <c r="AO54" i="47"/>
  <c r="AP54" i="47" s="1"/>
  <c r="AO37" i="47"/>
  <c r="AP37" i="47" s="1"/>
  <c r="AQ37" i="47"/>
  <c r="AR37" i="47" s="1"/>
  <c r="AH39" i="47"/>
  <c r="AL39" i="47" s="1"/>
  <c r="AQ39" i="47" s="1"/>
  <c r="AR39" i="47" s="1"/>
  <c r="AQ50" i="47"/>
  <c r="AR50" i="47" s="1"/>
  <c r="AO50" i="47"/>
  <c r="AP50" i="47" s="1"/>
  <c r="AH52" i="47"/>
  <c r="AQ36" i="47"/>
  <c r="AR36" i="47" s="1"/>
  <c r="AO36" i="47"/>
  <c r="AP36" i="47" s="1"/>
  <c r="AN56" i="47"/>
  <c r="AH56" i="47"/>
  <c r="AL56" i="47" s="1"/>
  <c r="AQ56" i="47" s="1"/>
  <c r="AR56" i="47" s="1"/>
  <c r="AO32" i="47"/>
  <c r="AP32" i="47" s="1"/>
  <c r="AQ32" i="47"/>
  <c r="AR32" i="47" s="1"/>
  <c r="AO28" i="47"/>
  <c r="AP28" i="47" s="1"/>
  <c r="AQ28" i="47"/>
  <c r="AR28" i="47" s="1"/>
  <c r="AQ27" i="47"/>
  <c r="AR27" i="47" s="1"/>
  <c r="AO27" i="47"/>
  <c r="AP27" i="47" s="1"/>
  <c r="AQ31" i="47"/>
  <c r="AR31" i="47" s="1"/>
  <c r="AO31" i="47"/>
  <c r="AP31" i="47" s="1"/>
  <c r="AM63" i="46"/>
  <c r="AO58" i="46"/>
  <c r="AP58" i="46" s="1"/>
  <c r="AO52" i="46"/>
  <c r="AP52" i="46" s="1"/>
  <c r="AK63" i="46"/>
  <c r="AH46" i="46"/>
  <c r="AL46" i="46" s="1"/>
  <c r="E87" i="46"/>
  <c r="F87" i="46" s="1"/>
  <c r="I88" i="33" s="1"/>
  <c r="AH28" i="46"/>
  <c r="AL28" i="46" s="1"/>
  <c r="AQ28" i="46" s="1"/>
  <c r="AR28" i="46" s="1"/>
  <c r="AQ31" i="46"/>
  <c r="AR31" i="46" s="1"/>
  <c r="AO18" i="46"/>
  <c r="AP18" i="46" s="1"/>
  <c r="AQ18" i="46"/>
  <c r="AR18" i="46" s="1"/>
  <c r="AO29" i="46"/>
  <c r="AP29" i="46" s="1"/>
  <c r="AO31" i="46"/>
  <c r="AP31" i="46" s="1"/>
  <c r="AQ33" i="46"/>
  <c r="AR33" i="46" s="1"/>
  <c r="AO41" i="46"/>
  <c r="AP41" i="46" s="1"/>
  <c r="AQ17" i="46"/>
  <c r="AR17" i="46" s="1"/>
  <c r="AO50" i="46"/>
  <c r="AP50" i="46" s="1"/>
  <c r="AO15" i="46"/>
  <c r="AP15" i="46" s="1"/>
  <c r="AQ44" i="46"/>
  <c r="AR44" i="46" s="1"/>
  <c r="AO19" i="46"/>
  <c r="AP19" i="46" s="1"/>
  <c r="AQ19" i="46"/>
  <c r="AR19" i="46" s="1"/>
  <c r="AQ25" i="46"/>
  <c r="AR25" i="46" s="1"/>
  <c r="AQ56" i="46"/>
  <c r="AR56" i="46" s="1"/>
  <c r="AQ42" i="46"/>
  <c r="AR42" i="46" s="1"/>
  <c r="AO42" i="46"/>
  <c r="AP42" i="46" s="1"/>
  <c r="AO51" i="46"/>
  <c r="AP51" i="46" s="1"/>
  <c r="AQ51" i="46"/>
  <c r="AR51" i="46" s="1"/>
  <c r="AQ48" i="46"/>
  <c r="AR48" i="46" s="1"/>
  <c r="AO48" i="46"/>
  <c r="AP48" i="46" s="1"/>
  <c r="AO23" i="46"/>
  <c r="AP23" i="46" s="1"/>
  <c r="AQ23" i="46"/>
  <c r="AR23" i="46" s="1"/>
  <c r="AO53" i="46"/>
  <c r="AP53" i="46" s="1"/>
  <c r="AQ53" i="46"/>
  <c r="AR53" i="46" s="1"/>
  <c r="AQ20" i="46"/>
  <c r="AR20" i="46" s="1"/>
  <c r="AO20" i="46"/>
  <c r="AP20" i="46" s="1"/>
  <c r="AO37" i="46"/>
  <c r="AP37" i="46" s="1"/>
  <c r="AQ37" i="46"/>
  <c r="AR37" i="46" s="1"/>
  <c r="AO33" i="46"/>
  <c r="AP33" i="46" s="1"/>
  <c r="AO32" i="46"/>
  <c r="AP32" i="46" s="1"/>
  <c r="AQ32" i="46"/>
  <c r="AR32" i="46" s="1"/>
  <c r="AO44" i="46"/>
  <c r="AP44" i="46" s="1"/>
  <c r="AO26" i="46"/>
  <c r="AP26" i="46" s="1"/>
  <c r="AQ26" i="46"/>
  <c r="AR26" i="46" s="1"/>
  <c r="AQ34" i="46"/>
  <c r="AR34" i="46" s="1"/>
  <c r="AO34" i="46"/>
  <c r="AP34" i="46" s="1"/>
  <c r="AH21" i="46"/>
  <c r="AQ27" i="46"/>
  <c r="AR27" i="46" s="1"/>
  <c r="AO27" i="46"/>
  <c r="AP27" i="46" s="1"/>
  <c r="AH30" i="46"/>
  <c r="AO36" i="46"/>
  <c r="AP36" i="46" s="1"/>
  <c r="AQ36" i="46"/>
  <c r="AR36" i="46" s="1"/>
  <c r="AO49" i="46"/>
  <c r="AP49" i="46" s="1"/>
  <c r="AQ49" i="46"/>
  <c r="AR49" i="46" s="1"/>
  <c r="AH47" i="46"/>
  <c r="AQ54" i="46"/>
  <c r="AR54" i="46" s="1"/>
  <c r="AO54" i="46"/>
  <c r="AP54" i="46" s="1"/>
  <c r="AO28" i="46"/>
  <c r="AP28" i="46" s="1"/>
  <c r="AO22" i="46"/>
  <c r="AP22" i="46" s="1"/>
  <c r="AQ22" i="46"/>
  <c r="AR22" i="46" s="1"/>
  <c r="V63" i="46"/>
  <c r="AO57" i="46"/>
  <c r="AP57" i="46" s="1"/>
  <c r="AQ55" i="46"/>
  <c r="AR55" i="46" s="1"/>
  <c r="AO55" i="46"/>
  <c r="AP55" i="46" s="1"/>
  <c r="AQ46" i="46"/>
  <c r="AR46" i="46" s="1"/>
  <c r="AO43" i="46"/>
  <c r="AP43" i="46" s="1"/>
  <c r="AQ43" i="46"/>
  <c r="AR43" i="46" s="1"/>
  <c r="AO38" i="46"/>
  <c r="AP38" i="46" s="1"/>
  <c r="AL15" i="46"/>
  <c r="AO16" i="46"/>
  <c r="AP16" i="46" s="1"/>
  <c r="AQ16" i="46"/>
  <c r="AR16" i="46" s="1"/>
  <c r="Y63" i="46"/>
  <c r="AA14" i="46"/>
  <c r="AA63" i="46" s="1"/>
  <c r="R69" i="46" s="1"/>
  <c r="R70" i="46" s="1"/>
  <c r="X29" i="45"/>
  <c r="W29" i="45"/>
  <c r="Z29" i="45"/>
  <c r="AJ22" i="45"/>
  <c r="AK22" i="45"/>
  <c r="AJ28" i="45"/>
  <c r="AF28" i="45"/>
  <c r="AA32" i="45"/>
  <c r="AK26" i="45"/>
  <c r="AM35" i="45"/>
  <c r="AH35" i="45"/>
  <c r="AL35" i="45" s="1"/>
  <c r="AK36" i="45"/>
  <c r="AG36" i="45"/>
  <c r="AG45" i="45"/>
  <c r="AN45" i="45" s="1"/>
  <c r="AK45" i="45"/>
  <c r="W29" i="44"/>
  <c r="Y29" i="44"/>
  <c r="AA29" i="44" s="1"/>
  <c r="X29" i="44"/>
  <c r="AK50" i="44"/>
  <c r="AG50" i="44"/>
  <c r="AN50" i="44" s="1"/>
  <c r="X51" i="44"/>
  <c r="Y17" i="45"/>
  <c r="AA17" i="45" s="1"/>
  <c r="W17" i="45"/>
  <c r="AK23" i="45"/>
  <c r="AG23" i="45"/>
  <c r="X34" i="45"/>
  <c r="V34" i="45"/>
  <c r="X20" i="44"/>
  <c r="W20" i="44"/>
  <c r="Z20" i="44"/>
  <c r="AJ56" i="44"/>
  <c r="AF56" i="44"/>
  <c r="AE56" i="44"/>
  <c r="AK58" i="44"/>
  <c r="AG58" i="44"/>
  <c r="AN58" i="44" s="1"/>
  <c r="AF21" i="45"/>
  <c r="AM21" i="45" s="1"/>
  <c r="AE21" i="45"/>
  <c r="AJ47" i="44"/>
  <c r="AE47" i="44"/>
  <c r="AJ51" i="44"/>
  <c r="AE51" i="44"/>
  <c r="AE54" i="44"/>
  <c r="AK54" i="44" s="1"/>
  <c r="AF54" i="44"/>
  <c r="AM54" i="44" s="1"/>
  <c r="AK27" i="45"/>
  <c r="AG27" i="45"/>
  <c r="AN27" i="45" s="1"/>
  <c r="AE46" i="45"/>
  <c r="AF46" i="45"/>
  <c r="AE54" i="45"/>
  <c r="AF54" i="45"/>
  <c r="Y20" i="44"/>
  <c r="AA20" i="44" s="1"/>
  <c r="AK33" i="44"/>
  <c r="AG33" i="44"/>
  <c r="AN33" i="44" s="1"/>
  <c r="Z17" i="45"/>
  <c r="X19" i="45"/>
  <c r="W19" i="45"/>
  <c r="AH27" i="45"/>
  <c r="AL27" i="45" s="1"/>
  <c r="Y29" i="45"/>
  <c r="AA29" i="45" s="1"/>
  <c r="AJ31" i="45"/>
  <c r="AF31" i="45"/>
  <c r="Z50" i="45"/>
  <c r="AA50" i="45" s="1"/>
  <c r="W50" i="45"/>
  <c r="AA22" i="44"/>
  <c r="AG14" i="45"/>
  <c r="AN14" i="45" s="1"/>
  <c r="V31" i="45"/>
  <c r="W31" i="45"/>
  <c r="AE31" i="45"/>
  <c r="Y36" i="45"/>
  <c r="X36" i="45"/>
  <c r="X40" i="45"/>
  <c r="W40" i="45"/>
  <c r="Z40" i="45"/>
  <c r="AA40" i="45" s="1"/>
  <c r="Y49" i="45"/>
  <c r="Z49" i="45"/>
  <c r="AF52" i="45"/>
  <c r="AE52" i="45"/>
  <c r="Y58" i="45"/>
  <c r="Z58" i="45"/>
  <c r="W58" i="45"/>
  <c r="AN19" i="45"/>
  <c r="AM23" i="45"/>
  <c r="AE28" i="45"/>
  <c r="AK32" i="45"/>
  <c r="AM36" i="45"/>
  <c r="AJ42" i="45"/>
  <c r="AK16" i="44"/>
  <c r="AN17" i="44"/>
  <c r="AH19" i="44"/>
  <c r="AL19" i="44" s="1"/>
  <c r="AK22" i="44"/>
  <c r="AN23" i="44"/>
  <c r="T24" i="44"/>
  <c r="AJ31" i="44"/>
  <c r="AK41" i="44"/>
  <c r="AK45" i="44"/>
  <c r="Y50" i="44"/>
  <c r="AE53" i="44"/>
  <c r="AG53" i="44" s="1"/>
  <c r="AN53" i="44" s="1"/>
  <c r="AH58" i="44"/>
  <c r="AL58" i="44" s="1"/>
  <c r="V18" i="45"/>
  <c r="AM19" i="45"/>
  <c r="T24" i="45"/>
  <c r="W27" i="45"/>
  <c r="S30" i="45"/>
  <c r="T33" i="45"/>
  <c r="AK39" i="45"/>
  <c r="Z41" i="45"/>
  <c r="AA41" i="45" s="1"/>
  <c r="AE42" i="45"/>
  <c r="AG42" i="45" s="1"/>
  <c r="AJ48" i="45"/>
  <c r="AJ51" i="45"/>
  <c r="W53" i="45"/>
  <c r="AJ56" i="45"/>
  <c r="AE14" i="44"/>
  <c r="T15" i="44"/>
  <c r="AH16" i="44"/>
  <c r="AL16" i="44" s="1"/>
  <c r="AK20" i="44"/>
  <c r="S21" i="44"/>
  <c r="S28" i="44"/>
  <c r="AM29" i="44"/>
  <c r="T30" i="44"/>
  <c r="W31" i="44"/>
  <c r="AA35" i="44"/>
  <c r="AH37" i="44"/>
  <c r="AL37" i="44" s="1"/>
  <c r="AM41" i="44"/>
  <c r="AM45" i="44"/>
  <c r="Y47" i="44"/>
  <c r="Z50" i="44"/>
  <c r="AA50" i="44" s="1"/>
  <c r="S51" i="44"/>
  <c r="AM45" i="45"/>
  <c r="AA23" i="44"/>
  <c r="AB23" i="44" s="1"/>
  <c r="AE24" i="44"/>
  <c r="Y26" i="44"/>
  <c r="AA26" i="44" s="1"/>
  <c r="T31" i="44"/>
  <c r="AM44" i="44"/>
  <c r="AK49" i="44"/>
  <c r="Y58" i="44"/>
  <c r="AA58" i="44" s="1"/>
  <c r="AA19" i="44"/>
  <c r="AJ24" i="44"/>
  <c r="Z54" i="44"/>
  <c r="AA57" i="44"/>
  <c r="T18" i="45"/>
  <c r="Z21" i="45"/>
  <c r="AN22" i="45"/>
  <c r="AJ43" i="45"/>
  <c r="N63" i="45"/>
  <c r="S17" i="45"/>
  <c r="AM17" i="45"/>
  <c r="Y23" i="45"/>
  <c r="W24" i="45"/>
  <c r="AM25" i="45"/>
  <c r="T31" i="45"/>
  <c r="AM38" i="45"/>
  <c r="AM39" i="45"/>
  <c r="T51" i="45"/>
  <c r="S54" i="45"/>
  <c r="T56" i="45"/>
  <c r="AK58" i="45"/>
  <c r="Q63" i="44"/>
  <c r="AE15" i="44"/>
  <c r="AG15" i="44" s="1"/>
  <c r="AN15" i="44" s="1"/>
  <c r="W18" i="44"/>
  <c r="Z19" i="44"/>
  <c r="AF24" i="44"/>
  <c r="AM24" i="44" s="1"/>
  <c r="AM25" i="44"/>
  <c r="AM30" i="44"/>
  <c r="W34" i="44"/>
  <c r="Z35" i="44"/>
  <c r="Z36" i="44"/>
  <c r="W37" i="44"/>
  <c r="AH39" i="44"/>
  <c r="AL39" i="44" s="1"/>
  <c r="X41" i="44"/>
  <c r="AH49" i="44"/>
  <c r="AL49" i="44" s="1"/>
  <c r="AM57" i="44"/>
  <c r="K67" i="44"/>
  <c r="E80" i="44"/>
  <c r="E81" i="44"/>
  <c r="D88" i="44" s="1"/>
  <c r="E88" i="44" s="1"/>
  <c r="H90" i="34" s="1"/>
  <c r="E86" i="44"/>
  <c r="AK14" i="44"/>
  <c r="AG14" i="44"/>
  <c r="AN14" i="44" s="1"/>
  <c r="AH17" i="44"/>
  <c r="AL17" i="44" s="1"/>
  <c r="AH23" i="44"/>
  <c r="AL23" i="44" s="1"/>
  <c r="Z28" i="44"/>
  <c r="Y28" i="44"/>
  <c r="X28" i="44"/>
  <c r="W28" i="44"/>
  <c r="Z21" i="44"/>
  <c r="Y21" i="44"/>
  <c r="AA21" i="44" s="1"/>
  <c r="X21" i="44"/>
  <c r="AM27" i="44"/>
  <c r="AM15" i="44"/>
  <c r="AG24" i="44"/>
  <c r="AN24" i="44" s="1"/>
  <c r="AK24" i="44"/>
  <c r="AN25" i="44"/>
  <c r="AH25" i="44"/>
  <c r="AL25" i="44" s="1"/>
  <c r="Y27" i="44"/>
  <c r="X27" i="44"/>
  <c r="Z27" i="44"/>
  <c r="AK15" i="44"/>
  <c r="AM21" i="44"/>
  <c r="W24" i="44"/>
  <c r="Z24" i="44"/>
  <c r="Y24" i="44"/>
  <c r="AA24" i="44" s="1"/>
  <c r="X24" i="44"/>
  <c r="AH24" i="44"/>
  <c r="AL24" i="44" s="1"/>
  <c r="Z15" i="44"/>
  <c r="Y15" i="44"/>
  <c r="X15" i="44"/>
  <c r="W15" i="44"/>
  <c r="V15" i="44"/>
  <c r="X18" i="44"/>
  <c r="Z18" i="44"/>
  <c r="Y18" i="44"/>
  <c r="W21" i="44"/>
  <c r="Z30" i="44"/>
  <c r="Y30" i="44"/>
  <c r="X30" i="44"/>
  <c r="W30" i="44"/>
  <c r="Z42" i="44"/>
  <c r="Y42" i="44"/>
  <c r="X42" i="44"/>
  <c r="W42" i="44"/>
  <c r="V42" i="44"/>
  <c r="Z48" i="44"/>
  <c r="Y48" i="44"/>
  <c r="AA48" i="44" s="1"/>
  <c r="X48" i="44"/>
  <c r="V48" i="44"/>
  <c r="T21" i="44"/>
  <c r="AJ15" i="44"/>
  <c r="AK17" i="44"/>
  <c r="T19" i="44"/>
  <c r="AM22" i="44"/>
  <c r="T23" i="44"/>
  <c r="S25" i="44"/>
  <c r="AM26" i="44"/>
  <c r="T27" i="44"/>
  <c r="AH29" i="44"/>
  <c r="AL29" i="44" s="1"/>
  <c r="S33" i="44"/>
  <c r="S36" i="44"/>
  <c r="AK36" i="44"/>
  <c r="AJ36" i="44"/>
  <c r="S38" i="44"/>
  <c r="AK38" i="44"/>
  <c r="AJ38" i="44"/>
  <c r="S42" i="44"/>
  <c r="AF46" i="44"/>
  <c r="AE46" i="44"/>
  <c r="S48" i="44"/>
  <c r="T51" i="44"/>
  <c r="Z55" i="44"/>
  <c r="Y55" i="44"/>
  <c r="AA55" i="44" s="1"/>
  <c r="X55" i="44"/>
  <c r="V55" i="44"/>
  <c r="Z56" i="44"/>
  <c r="Y56" i="44"/>
  <c r="W56" i="44"/>
  <c r="AM16" i="44"/>
  <c r="AM20" i="44"/>
  <c r="T14" i="44"/>
  <c r="J63" i="44"/>
  <c r="K71" i="44" s="1"/>
  <c r="S18" i="44"/>
  <c r="AG18" i="44"/>
  <c r="AK19" i="44"/>
  <c r="V21" i="44"/>
  <c r="AJ21" i="44"/>
  <c r="AG22" i="44"/>
  <c r="AN22" i="44" s="1"/>
  <c r="AK23" i="44"/>
  <c r="T25" i="44"/>
  <c r="AJ25" i="44"/>
  <c r="AG26" i="44"/>
  <c r="AN26" i="44" s="1"/>
  <c r="AE28" i="44"/>
  <c r="S29" i="44"/>
  <c r="AE30" i="44"/>
  <c r="AG32" i="44"/>
  <c r="AK32" i="44"/>
  <c r="T42" i="44"/>
  <c r="Z46" i="44"/>
  <c r="Y46" i="44"/>
  <c r="AA46" i="44" s="1"/>
  <c r="X46" i="44"/>
  <c r="W46" i="44"/>
  <c r="T47" i="44"/>
  <c r="T48" i="44"/>
  <c r="X54" i="44"/>
  <c r="Y54" i="44"/>
  <c r="AA54" i="44" s="1"/>
  <c r="W55" i="44"/>
  <c r="S56" i="44"/>
  <c r="AG56" i="44"/>
  <c r="AN56" i="44" s="1"/>
  <c r="AK56" i="44"/>
  <c r="T35" i="44"/>
  <c r="T58" i="44"/>
  <c r="T49" i="44"/>
  <c r="T39" i="44"/>
  <c r="T37" i="44"/>
  <c r="T43" i="44"/>
  <c r="T41" i="44"/>
  <c r="T57" i="44"/>
  <c r="T54" i="44"/>
  <c r="T50" i="44"/>
  <c r="AB50" i="44" s="1"/>
  <c r="T38" i="44"/>
  <c r="T36" i="44"/>
  <c r="T55" i="44"/>
  <c r="T17" i="44"/>
  <c r="AG51" i="44"/>
  <c r="AN51" i="44" s="1"/>
  <c r="AK51" i="44"/>
  <c r="N63" i="44"/>
  <c r="U14" i="44"/>
  <c r="V14" i="44" s="1"/>
  <c r="AI63" i="44"/>
  <c r="AM17" i="44"/>
  <c r="T18" i="44"/>
  <c r="S20" i="44"/>
  <c r="S24" i="44"/>
  <c r="V27" i="44"/>
  <c r="AJ27" i="44"/>
  <c r="AF28" i="44"/>
  <c r="T29" i="44"/>
  <c r="AJ29" i="44"/>
  <c r="T32" i="44"/>
  <c r="V33" i="44"/>
  <c r="Y33" i="44"/>
  <c r="AA33" i="44" s="1"/>
  <c r="Z33" i="44"/>
  <c r="T34" i="44"/>
  <c r="AG35" i="44"/>
  <c r="AN35" i="44" s="1"/>
  <c r="AK35" i="44"/>
  <c r="W44" i="44"/>
  <c r="V44" i="44"/>
  <c r="S46" i="44"/>
  <c r="AB46" i="44" s="1"/>
  <c r="T52" i="44"/>
  <c r="AH53" i="44"/>
  <c r="AL53" i="44" s="1"/>
  <c r="AM53" i="44"/>
  <c r="AM55" i="44"/>
  <c r="T56" i="44"/>
  <c r="O63" i="44"/>
  <c r="AJ14" i="44"/>
  <c r="T16" i="44"/>
  <c r="AB16" i="44" s="1"/>
  <c r="X17" i="44"/>
  <c r="W19" i="44"/>
  <c r="AM19" i="44"/>
  <c r="T20" i="44"/>
  <c r="AE21" i="44"/>
  <c r="S22" i="44"/>
  <c r="W23" i="44"/>
  <c r="AM23" i="44"/>
  <c r="V31" i="44"/>
  <c r="V34" i="44"/>
  <c r="AH40" i="44"/>
  <c r="AL40" i="44" s="1"/>
  <c r="AN40" i="44"/>
  <c r="AN41" i="44"/>
  <c r="Y44" i="44"/>
  <c r="X44" i="44"/>
  <c r="Z44" i="44"/>
  <c r="T46" i="44"/>
  <c r="AJ46" i="44"/>
  <c r="W52" i="44"/>
  <c r="V52" i="44"/>
  <c r="Z53" i="44"/>
  <c r="Y53" i="44"/>
  <c r="X53" i="44"/>
  <c r="V53" i="44"/>
  <c r="S55" i="44"/>
  <c r="AN57" i="44"/>
  <c r="AH57" i="44"/>
  <c r="AL57" i="44" s="1"/>
  <c r="AM58" i="44"/>
  <c r="T40" i="44"/>
  <c r="AM48" i="44"/>
  <c r="P63" i="44"/>
  <c r="Y17" i="44"/>
  <c r="AA17" i="44" s="1"/>
  <c r="V18" i="44"/>
  <c r="X19" i="44"/>
  <c r="T22" i="44"/>
  <c r="X23" i="44"/>
  <c r="W25" i="44"/>
  <c r="T26" i="44"/>
  <c r="AB26" i="44" s="1"/>
  <c r="AE27" i="44"/>
  <c r="Z31" i="44"/>
  <c r="X31" i="44"/>
  <c r="T33" i="44"/>
  <c r="Y34" i="44"/>
  <c r="X34" i="44"/>
  <c r="Z34" i="44"/>
  <c r="Z43" i="44"/>
  <c r="Y43" i="44"/>
  <c r="S44" i="44"/>
  <c r="AM47" i="44"/>
  <c r="AM49" i="44"/>
  <c r="Y52" i="44"/>
  <c r="AA52" i="44" s="1"/>
  <c r="X52" i="44"/>
  <c r="Z52" i="44"/>
  <c r="S53" i="44"/>
  <c r="AG54" i="44"/>
  <c r="AM42" i="44"/>
  <c r="Z47" i="44"/>
  <c r="AA47" i="44" s="1"/>
  <c r="X47" i="44"/>
  <c r="S35" i="44"/>
  <c r="S58" i="44"/>
  <c r="AB58" i="44" s="1"/>
  <c r="S49" i="44"/>
  <c r="AB49" i="44" s="1"/>
  <c r="S39" i="44"/>
  <c r="S37" i="44"/>
  <c r="S41" i="44"/>
  <c r="S47" i="44"/>
  <c r="S52" i="44"/>
  <c r="S40" i="44"/>
  <c r="S32" i="44"/>
  <c r="AB32" i="44" s="1"/>
  <c r="S17" i="44"/>
  <c r="AJ30" i="44"/>
  <c r="S31" i="44"/>
  <c r="Y31" i="44"/>
  <c r="S34" i="44"/>
  <c r="AF34" i="44"/>
  <c r="AE34" i="44"/>
  <c r="AM36" i="44"/>
  <c r="AA37" i="44"/>
  <c r="AM37" i="44"/>
  <c r="AM38" i="44"/>
  <c r="AA39" i="44"/>
  <c r="AM39" i="44"/>
  <c r="AA41" i="44"/>
  <c r="S43" i="44"/>
  <c r="AG43" i="44"/>
  <c r="AN43" i="44" s="1"/>
  <c r="AK43" i="44"/>
  <c r="W47" i="44"/>
  <c r="W48" i="44"/>
  <c r="V51" i="44"/>
  <c r="Z51" i="44"/>
  <c r="Y51" i="44"/>
  <c r="W51" i="44"/>
  <c r="T53" i="44"/>
  <c r="AK53" i="44"/>
  <c r="X56" i="44"/>
  <c r="S57" i="44"/>
  <c r="AB57" i="44" s="1"/>
  <c r="AE31" i="44"/>
  <c r="Z32" i="44"/>
  <c r="AA32" i="44" s="1"/>
  <c r="Y36" i="44"/>
  <c r="AA36" i="44" s="1"/>
  <c r="AH36" i="44"/>
  <c r="AL36" i="44" s="1"/>
  <c r="Y38" i="44"/>
  <c r="AA38" i="44" s="1"/>
  <c r="AH38" i="44"/>
  <c r="AL38" i="44" s="1"/>
  <c r="Z40" i="44"/>
  <c r="AA40" i="44" s="1"/>
  <c r="W41" i="44"/>
  <c r="W43" i="44"/>
  <c r="AG45" i="44"/>
  <c r="AH50" i="44"/>
  <c r="AL50" i="44" s="1"/>
  <c r="AJ53" i="44"/>
  <c r="AF33" i="44"/>
  <c r="AM35" i="44"/>
  <c r="X37" i="44"/>
  <c r="X39" i="44"/>
  <c r="AJ42" i="44"/>
  <c r="AM43" i="44"/>
  <c r="AJ48" i="44"/>
  <c r="AM51" i="44"/>
  <c r="AJ55" i="44"/>
  <c r="AM56" i="44"/>
  <c r="AJ44" i="44"/>
  <c r="Y49" i="44"/>
  <c r="AA49" i="44" s="1"/>
  <c r="AJ52" i="44"/>
  <c r="AK57" i="44"/>
  <c r="W40" i="44"/>
  <c r="AE42" i="44"/>
  <c r="AE48" i="44"/>
  <c r="V54" i="44"/>
  <c r="AJ54" i="44"/>
  <c r="AE55" i="44"/>
  <c r="W36" i="44"/>
  <c r="W38" i="44"/>
  <c r="X40" i="44"/>
  <c r="AE44" i="44"/>
  <c r="V47" i="44"/>
  <c r="AE52" i="44"/>
  <c r="W57" i="44"/>
  <c r="Z28" i="45"/>
  <c r="Y28" i="45"/>
  <c r="X28" i="45"/>
  <c r="W28" i="45"/>
  <c r="AF24" i="45"/>
  <c r="AE24" i="45"/>
  <c r="Z26" i="45"/>
  <c r="Y26" i="45"/>
  <c r="AA26" i="45" s="1"/>
  <c r="X26" i="45"/>
  <c r="W26" i="45"/>
  <c r="AN50" i="45"/>
  <c r="AH50" i="45"/>
  <c r="AL50" i="45" s="1"/>
  <c r="Y52" i="45"/>
  <c r="AA52" i="45" s="1"/>
  <c r="X52" i="45"/>
  <c r="W52" i="45"/>
  <c r="Z52" i="45"/>
  <c r="U14" i="45"/>
  <c r="W14" i="45" s="1"/>
  <c r="Z18" i="45"/>
  <c r="Y18" i="45"/>
  <c r="X18" i="45"/>
  <c r="W21" i="45"/>
  <c r="Z22" i="45"/>
  <c r="Y22" i="45"/>
  <c r="X22" i="45"/>
  <c r="W22" i="45"/>
  <c r="Z24" i="45"/>
  <c r="Y24" i="45"/>
  <c r="X24" i="45"/>
  <c r="S39" i="45"/>
  <c r="AH17" i="45"/>
  <c r="AL17" i="45" s="1"/>
  <c r="AN17" i="45"/>
  <c r="AK20" i="45"/>
  <c r="AG20" i="45"/>
  <c r="AN20" i="45" s="1"/>
  <c r="AJ24" i="45"/>
  <c r="X27" i="45"/>
  <c r="Z27" i="45"/>
  <c r="AA27" i="45" s="1"/>
  <c r="AM29" i="45"/>
  <c r="AG40" i="45"/>
  <c r="AN40" i="45" s="1"/>
  <c r="AK40" i="45"/>
  <c r="Y44" i="45"/>
  <c r="X44" i="45"/>
  <c r="W44" i="45"/>
  <c r="Z44" i="45"/>
  <c r="V44" i="45"/>
  <c r="Y21" i="45"/>
  <c r="AA21" i="45" s="1"/>
  <c r="X21" i="45"/>
  <c r="S48" i="45"/>
  <c r="S42" i="45"/>
  <c r="S46" i="45"/>
  <c r="S35" i="45"/>
  <c r="S58" i="45"/>
  <c r="S49" i="45"/>
  <c r="S57" i="45"/>
  <c r="S50" i="45"/>
  <c r="S38" i="45"/>
  <c r="S36" i="45"/>
  <c r="S52" i="45"/>
  <c r="S43" i="45"/>
  <c r="S41" i="45"/>
  <c r="S26" i="45"/>
  <c r="S22" i="45"/>
  <c r="S20" i="45"/>
  <c r="S16" i="45"/>
  <c r="S37" i="45"/>
  <c r="S31" i="45"/>
  <c r="S29" i="45"/>
  <c r="S34" i="45"/>
  <c r="S25" i="45"/>
  <c r="S23" i="45"/>
  <c r="S19" i="45"/>
  <c r="Z15" i="45"/>
  <c r="Y15" i="45"/>
  <c r="X15" i="45"/>
  <c r="AA16" i="45"/>
  <c r="AH26" i="45"/>
  <c r="AL26" i="45" s="1"/>
  <c r="S27" i="45"/>
  <c r="S28" i="45"/>
  <c r="AG28" i="45"/>
  <c r="AN28" i="45" s="1"/>
  <c r="AK28" i="45"/>
  <c r="AH38" i="45"/>
  <c r="AL38" i="45" s="1"/>
  <c r="AN38" i="45"/>
  <c r="Q63" i="45"/>
  <c r="AH19" i="45"/>
  <c r="AL19" i="45" s="1"/>
  <c r="S15" i="45"/>
  <c r="AK16" i="45"/>
  <c r="AG16" i="45"/>
  <c r="AH22" i="45"/>
  <c r="AL22" i="45" s="1"/>
  <c r="W30" i="45"/>
  <c r="V30" i="45"/>
  <c r="Z31" i="45"/>
  <c r="Y31" i="45"/>
  <c r="X31" i="45"/>
  <c r="AE34" i="45"/>
  <c r="AJ34" i="45"/>
  <c r="AF34" i="45"/>
  <c r="AM41" i="45"/>
  <c r="V14" i="45"/>
  <c r="W15" i="45"/>
  <c r="V15" i="45"/>
  <c r="S14" i="45"/>
  <c r="W18" i="45"/>
  <c r="AA23" i="45"/>
  <c r="V24" i="45"/>
  <c r="AN25" i="45"/>
  <c r="Z30" i="45"/>
  <c r="Y30" i="45"/>
  <c r="X30" i="45"/>
  <c r="S33" i="45"/>
  <c r="T46" i="45"/>
  <c r="T58" i="45"/>
  <c r="T53" i="45"/>
  <c r="T49" i="45"/>
  <c r="T39" i="45"/>
  <c r="T37" i="45"/>
  <c r="T43" i="45"/>
  <c r="T57" i="45"/>
  <c r="T50" i="45"/>
  <c r="T38" i="45"/>
  <c r="T36" i="45"/>
  <c r="T40" i="45"/>
  <c r="T55" i="45"/>
  <c r="T48" i="45"/>
  <c r="R63" i="45"/>
  <c r="AF14" i="45"/>
  <c r="W16" i="45"/>
  <c r="T17" i="45"/>
  <c r="AE18" i="45"/>
  <c r="Z19" i="45"/>
  <c r="AA19" i="45" s="1"/>
  <c r="W20" i="45"/>
  <c r="AM20" i="45"/>
  <c r="T32" i="45"/>
  <c r="W36" i="45"/>
  <c r="Z36" i="45"/>
  <c r="X39" i="45"/>
  <c r="W39" i="45"/>
  <c r="AH40" i="45"/>
  <c r="AL40" i="45" s="1"/>
  <c r="Z42" i="45"/>
  <c r="Y42" i="45"/>
  <c r="Y43" i="45"/>
  <c r="AA43" i="45" s="1"/>
  <c r="X43" i="45"/>
  <c r="S44" i="45"/>
  <c r="T54" i="45"/>
  <c r="AM55" i="45"/>
  <c r="AJ15" i="45"/>
  <c r="X16" i="45"/>
  <c r="AK17" i="45"/>
  <c r="AF18" i="45"/>
  <c r="T19" i="45"/>
  <c r="X20" i="45"/>
  <c r="AM22" i="45"/>
  <c r="T23" i="45"/>
  <c r="Z25" i="45"/>
  <c r="AA25" i="45" s="1"/>
  <c r="AM26" i="45"/>
  <c r="T27" i="45"/>
  <c r="AJ30" i="45"/>
  <c r="AM31" i="45"/>
  <c r="AM32" i="45"/>
  <c r="Y33" i="45"/>
  <c r="X33" i="45"/>
  <c r="V33" i="45"/>
  <c r="AK38" i="45"/>
  <c r="AN42" i="45"/>
  <c r="AH42" i="45"/>
  <c r="AL42" i="45" s="1"/>
  <c r="T44" i="45"/>
  <c r="W47" i="45"/>
  <c r="V47" i="45"/>
  <c r="Z47" i="45"/>
  <c r="Y47" i="45"/>
  <c r="X47" i="45"/>
  <c r="T52" i="45"/>
  <c r="AB52" i="45" s="1"/>
  <c r="AM53" i="45"/>
  <c r="W55" i="45"/>
  <c r="J63" i="45"/>
  <c r="K71" i="45" s="1"/>
  <c r="AK19" i="45"/>
  <c r="Y20" i="45"/>
  <c r="AA20" i="45" s="1"/>
  <c r="V21" i="45"/>
  <c r="AJ21" i="45"/>
  <c r="T25" i="45"/>
  <c r="AJ25" i="45"/>
  <c r="W33" i="45"/>
  <c r="T42" i="45"/>
  <c r="S47" i="45"/>
  <c r="Z55" i="45"/>
  <c r="Y55" i="45"/>
  <c r="X55" i="45"/>
  <c r="AE15" i="45"/>
  <c r="V27" i="45"/>
  <c r="AM28" i="45"/>
  <c r="T29" i="45"/>
  <c r="AJ29" i="45"/>
  <c r="AE30" i="45"/>
  <c r="AG32" i="45"/>
  <c r="AN32" i="45" s="1"/>
  <c r="Z33" i="45"/>
  <c r="W34" i="45"/>
  <c r="T35" i="45"/>
  <c r="AA36" i="45"/>
  <c r="X37" i="45"/>
  <c r="W37" i="45"/>
  <c r="AH37" i="45"/>
  <c r="AL37" i="45" s="1"/>
  <c r="Z39" i="45"/>
  <c r="AA39" i="45" s="1"/>
  <c r="AM40" i="45"/>
  <c r="AG46" i="45"/>
  <c r="AN46" i="45" s="1"/>
  <c r="AK46" i="45"/>
  <c r="T47" i="45"/>
  <c r="Z53" i="45"/>
  <c r="Y53" i="45"/>
  <c r="X53" i="45"/>
  <c r="V53" i="45"/>
  <c r="AK54" i="45"/>
  <c r="AG54" i="45"/>
  <c r="AN54" i="45" s="1"/>
  <c r="S55" i="45"/>
  <c r="AN57" i="45"/>
  <c r="AH57" i="45"/>
  <c r="AL57" i="45" s="1"/>
  <c r="T16" i="45"/>
  <c r="T20" i="45"/>
  <c r="Y34" i="45"/>
  <c r="Z35" i="45"/>
  <c r="AA35" i="45" s="1"/>
  <c r="W35" i="45"/>
  <c r="W38" i="45"/>
  <c r="Z38" i="45"/>
  <c r="AA38" i="45" s="1"/>
  <c r="AK42" i="45"/>
  <c r="Z48" i="45"/>
  <c r="Y48" i="45"/>
  <c r="X48" i="45"/>
  <c r="AN48" i="45"/>
  <c r="AH48" i="45"/>
  <c r="AL48" i="45" s="1"/>
  <c r="Z51" i="45"/>
  <c r="Y51" i="45"/>
  <c r="AA51" i="45" s="1"/>
  <c r="X51" i="45"/>
  <c r="AM52" i="45"/>
  <c r="S53" i="45"/>
  <c r="V56" i="45"/>
  <c r="Z56" i="45"/>
  <c r="Y56" i="45"/>
  <c r="AA56" i="45" s="1"/>
  <c r="X56" i="45"/>
  <c r="W56" i="45"/>
  <c r="K68" i="45"/>
  <c r="AI63" i="45"/>
  <c r="O63" i="45"/>
  <c r="P63" i="45"/>
  <c r="T22" i="45"/>
  <c r="T26" i="45"/>
  <c r="AF33" i="45"/>
  <c r="AE33" i="45"/>
  <c r="T34" i="45"/>
  <c r="Z34" i="45"/>
  <c r="Y37" i="45"/>
  <c r="AA37" i="45" s="1"/>
  <c r="AK37" i="45"/>
  <c r="AN39" i="45"/>
  <c r="AK41" i="45"/>
  <c r="W42" i="45"/>
  <c r="AF44" i="45"/>
  <c r="AE44" i="45"/>
  <c r="Z46" i="45"/>
  <c r="Y46" i="45"/>
  <c r="X46" i="45"/>
  <c r="AH46" i="45"/>
  <c r="AL46" i="45" s="1"/>
  <c r="S51" i="45"/>
  <c r="V52" i="45"/>
  <c r="X54" i="45"/>
  <c r="W54" i="45"/>
  <c r="Z54" i="45"/>
  <c r="Y54" i="45"/>
  <c r="S56" i="45"/>
  <c r="W43" i="45"/>
  <c r="W51" i="45"/>
  <c r="AJ53" i="45"/>
  <c r="AM54" i="45"/>
  <c r="X41" i="45"/>
  <c r="AG41" i="45"/>
  <c r="AN41" i="45" s="1"/>
  <c r="AE43" i="45"/>
  <c r="AH45" i="45"/>
  <c r="V46" i="45"/>
  <c r="AJ46" i="45"/>
  <c r="AF47" i="45"/>
  <c r="W49" i="45"/>
  <c r="AM49" i="45"/>
  <c r="AE51" i="45"/>
  <c r="AE56" i="45"/>
  <c r="AM58" i="45"/>
  <c r="AF43" i="45"/>
  <c r="AG47" i="45"/>
  <c r="AN47" i="45" s="1"/>
  <c r="V48" i="45"/>
  <c r="X49" i="45"/>
  <c r="AG49" i="45"/>
  <c r="AN49" i="45" s="1"/>
  <c r="AF51" i="45"/>
  <c r="AE53" i="45"/>
  <c r="V55" i="45"/>
  <c r="AJ55" i="45"/>
  <c r="AM56" i="45"/>
  <c r="AG58" i="45"/>
  <c r="AN58" i="45" s="1"/>
  <c r="AK48" i="45"/>
  <c r="AK50" i="45"/>
  <c r="AJ52" i="45"/>
  <c r="AK57" i="45"/>
  <c r="AM46" i="45"/>
  <c r="AJ54" i="45"/>
  <c r="AE55" i="45"/>
  <c r="W57" i="45"/>
  <c r="E86" i="43"/>
  <c r="E85" i="46" l="1"/>
  <c r="F85" i="46" s="1"/>
  <c r="AO39" i="46"/>
  <c r="AP39" i="46" s="1"/>
  <c r="AO56" i="47"/>
  <c r="AP56" i="47" s="1"/>
  <c r="AL59" i="47"/>
  <c r="AQ59" i="47" s="1"/>
  <c r="AR59" i="47" s="1"/>
  <c r="AO59" i="47"/>
  <c r="AP59" i="47" s="1"/>
  <c r="AO47" i="47"/>
  <c r="AP47" i="47" s="1"/>
  <c r="AO58" i="47"/>
  <c r="AP58" i="47" s="1"/>
  <c r="AN63" i="47"/>
  <c r="AO34" i="47"/>
  <c r="AP34" i="47" s="1"/>
  <c r="AO60" i="47"/>
  <c r="AP60" i="47" s="1"/>
  <c r="AL60" i="47"/>
  <c r="AQ60" i="47" s="1"/>
  <c r="AR60" i="47" s="1"/>
  <c r="AO38" i="47"/>
  <c r="AP38" i="47" s="1"/>
  <c r="E88" i="46"/>
  <c r="F88" i="46" s="1"/>
  <c r="I89" i="33" s="1"/>
  <c r="AH63" i="46"/>
  <c r="AH66" i="46" s="1"/>
  <c r="AH67" i="46" s="1"/>
  <c r="AA63" i="47"/>
  <c r="AB14" i="47"/>
  <c r="AL49" i="47"/>
  <c r="AQ49" i="47" s="1"/>
  <c r="AR49" i="47" s="1"/>
  <c r="AO49" i="47"/>
  <c r="AP49" i="47" s="1"/>
  <c r="AL20" i="47"/>
  <c r="AH63" i="47"/>
  <c r="AH66" i="47" s="1"/>
  <c r="AH67" i="47" s="1"/>
  <c r="AL52" i="47"/>
  <c r="AQ52" i="47" s="1"/>
  <c r="AR52" i="47" s="1"/>
  <c r="AO52" i="47"/>
  <c r="AP52" i="47" s="1"/>
  <c r="AO39" i="47"/>
  <c r="AP39" i="47" s="1"/>
  <c r="AO46" i="46"/>
  <c r="AP46" i="46" s="1"/>
  <c r="AL21" i="46"/>
  <c r="AQ21" i="46" s="1"/>
  <c r="AR21" i="46" s="1"/>
  <c r="AO21" i="46"/>
  <c r="AP21" i="46" s="1"/>
  <c r="AQ15" i="46"/>
  <c r="AR15" i="46" s="1"/>
  <c r="AL30" i="46"/>
  <c r="AQ30" i="46" s="1"/>
  <c r="AR30" i="46" s="1"/>
  <c r="AO30" i="46"/>
  <c r="AP30" i="46" s="1"/>
  <c r="AB14" i="46"/>
  <c r="R66" i="46"/>
  <c r="R67" i="46" s="1"/>
  <c r="E84" i="46"/>
  <c r="AL47" i="46"/>
  <c r="AQ47" i="46" s="1"/>
  <c r="AR47" i="46" s="1"/>
  <c r="AO47" i="46"/>
  <c r="AP47" i="46" s="1"/>
  <c r="AB25" i="44"/>
  <c r="AH22" i="44"/>
  <c r="AL22" i="44" s="1"/>
  <c r="K68" i="44"/>
  <c r="D87" i="44"/>
  <c r="E87" i="44" s="1"/>
  <c r="H13" i="34" s="1"/>
  <c r="AG31" i="45"/>
  <c r="AK31" i="45"/>
  <c r="T63" i="45"/>
  <c r="AB53" i="45"/>
  <c r="AB24" i="45"/>
  <c r="AB37" i="44"/>
  <c r="AA53" i="45"/>
  <c r="AB28" i="45"/>
  <c r="AA18" i="45"/>
  <c r="AB18" i="45" s="1"/>
  <c r="AB54" i="44"/>
  <c r="AB17" i="44"/>
  <c r="AB39" i="44"/>
  <c r="AB22" i="44"/>
  <c r="AB29" i="44"/>
  <c r="AH14" i="44"/>
  <c r="AA49" i="45"/>
  <c r="AB49" i="45" s="1"/>
  <c r="AQ49" i="45" s="1"/>
  <c r="AR49" i="45" s="1"/>
  <c r="AK21" i="45"/>
  <c r="AG21" i="45"/>
  <c r="AN21" i="45" s="1"/>
  <c r="AB55" i="44"/>
  <c r="AH56" i="44"/>
  <c r="AL56" i="44" s="1"/>
  <c r="AB33" i="44"/>
  <c r="AB19" i="44"/>
  <c r="AB21" i="45"/>
  <c r="AB40" i="45"/>
  <c r="AB17" i="45"/>
  <c r="AA30" i="45"/>
  <c r="AB30" i="45" s="1"/>
  <c r="AH28" i="45"/>
  <c r="AL28" i="45" s="1"/>
  <c r="AA44" i="45"/>
  <c r="AB44" i="45" s="1"/>
  <c r="AH20" i="45"/>
  <c r="AL20" i="45" s="1"/>
  <c r="AA28" i="45"/>
  <c r="AB35" i="44"/>
  <c r="AB24" i="44"/>
  <c r="AQ24" i="44" s="1"/>
  <c r="AR24" i="44" s="1"/>
  <c r="AA30" i="44"/>
  <c r="AB30" i="44" s="1"/>
  <c r="AA28" i="44"/>
  <c r="AB28" i="44" s="1"/>
  <c r="AA58" i="45"/>
  <c r="AN36" i="45"/>
  <c r="AH36" i="45"/>
  <c r="AL36" i="45" s="1"/>
  <c r="AJ63" i="45"/>
  <c r="AB56" i="45"/>
  <c r="AA34" i="45"/>
  <c r="AB34" i="45" s="1"/>
  <c r="AB29" i="45"/>
  <c r="AB41" i="45"/>
  <c r="AA31" i="44"/>
  <c r="AB31" i="44" s="1"/>
  <c r="AK52" i="45"/>
  <c r="AG52" i="45"/>
  <c r="AB32" i="45"/>
  <c r="AA24" i="45"/>
  <c r="AA56" i="44"/>
  <c r="AB56" i="44" s="1"/>
  <c r="AB21" i="44"/>
  <c r="AA15" i="44"/>
  <c r="AB15" i="44" s="1"/>
  <c r="AK47" i="44"/>
  <c r="AG47" i="44"/>
  <c r="AN23" i="45"/>
  <c r="AH23" i="45"/>
  <c r="AL23" i="45" s="1"/>
  <c r="AQ16" i="44"/>
  <c r="AO16" i="44"/>
  <c r="AB47" i="44"/>
  <c r="AB43" i="44"/>
  <c r="V63" i="44"/>
  <c r="AQ50" i="44"/>
  <c r="AO50" i="44"/>
  <c r="AP50" i="44" s="1"/>
  <c r="AO19" i="44"/>
  <c r="AQ19" i="44"/>
  <c r="AG42" i="44"/>
  <c r="AK42" i="44"/>
  <c r="AO17" i="44"/>
  <c r="AQ17" i="44"/>
  <c r="AA51" i="44"/>
  <c r="AB51" i="44" s="1"/>
  <c r="AB41" i="44"/>
  <c r="AK27" i="44"/>
  <c r="AG27" i="44"/>
  <c r="AA44" i="44"/>
  <c r="AB44" i="44" s="1"/>
  <c r="AM28" i="44"/>
  <c r="AH32" i="44"/>
  <c r="AL32" i="44" s="1"/>
  <c r="AQ32" i="44" s="1"/>
  <c r="AR32" i="44" s="1"/>
  <c r="AN32" i="44"/>
  <c r="AH51" i="44"/>
  <c r="AL51" i="44" s="1"/>
  <c r="AA27" i="44"/>
  <c r="AB27" i="44" s="1"/>
  <c r="AG31" i="44"/>
  <c r="AK31" i="44"/>
  <c r="AQ39" i="44"/>
  <c r="AO39" i="44"/>
  <c r="AB38" i="44"/>
  <c r="AM34" i="44"/>
  <c r="AQ49" i="44"/>
  <c r="AO49" i="44"/>
  <c r="AH54" i="44"/>
  <c r="AL54" i="44" s="1"/>
  <c r="AN54" i="44"/>
  <c r="AA34" i="44"/>
  <c r="AB34" i="44" s="1"/>
  <c r="AQ22" i="44"/>
  <c r="AO22" i="44"/>
  <c r="AJ63" i="44"/>
  <c r="AG28" i="44"/>
  <c r="AN28" i="44" s="1"/>
  <c r="AK28" i="44"/>
  <c r="T63" i="44"/>
  <c r="AG46" i="44"/>
  <c r="AN46" i="44" s="1"/>
  <c r="AK46" i="44"/>
  <c r="AG48" i="44"/>
  <c r="AK48" i="44"/>
  <c r="AK34" i="44"/>
  <c r="AG34" i="44"/>
  <c r="AN34" i="44" s="1"/>
  <c r="AQ29" i="44"/>
  <c r="AR29" i="44" s="1"/>
  <c r="AO29" i="44"/>
  <c r="AB48" i="44"/>
  <c r="AH33" i="44"/>
  <c r="AL33" i="44" s="1"/>
  <c r="AM33" i="44"/>
  <c r="AB40" i="44"/>
  <c r="AQ58" i="44"/>
  <c r="AO58" i="44"/>
  <c r="AP58" i="44" s="1"/>
  <c r="AH43" i="44"/>
  <c r="AL43" i="44" s="1"/>
  <c r="AH35" i="44"/>
  <c r="AL35" i="44" s="1"/>
  <c r="AQ35" i="44" s="1"/>
  <c r="AG21" i="44"/>
  <c r="AK21" i="44"/>
  <c r="AB20" i="44"/>
  <c r="AH46" i="44"/>
  <c r="AL46" i="44" s="1"/>
  <c r="AQ46" i="44" s="1"/>
  <c r="AM46" i="44"/>
  <c r="S63" i="44"/>
  <c r="AO23" i="44"/>
  <c r="AQ23" i="44"/>
  <c r="AB52" i="44"/>
  <c r="AO25" i="44"/>
  <c r="AQ25" i="44"/>
  <c r="AK44" i="44"/>
  <c r="AG44" i="44"/>
  <c r="AQ37" i="44"/>
  <c r="AO37" i="44"/>
  <c r="AK30" i="44"/>
  <c r="AG30" i="44"/>
  <c r="AQ57" i="44"/>
  <c r="AR57" i="44" s="1"/>
  <c r="AO57" i="44"/>
  <c r="X14" i="44"/>
  <c r="X63" i="44" s="1"/>
  <c r="Y14" i="44"/>
  <c r="Z14" i="44"/>
  <c r="Z63" i="44" s="1"/>
  <c r="AL14" i="44"/>
  <c r="AG55" i="44"/>
  <c r="AK55" i="44"/>
  <c r="AK63" i="44" s="1"/>
  <c r="AB36" i="44"/>
  <c r="AK52" i="44"/>
  <c r="AG52" i="44"/>
  <c r="AN45" i="44"/>
  <c r="AH45" i="44"/>
  <c r="AA43" i="44"/>
  <c r="AA53" i="44"/>
  <c r="AB53" i="44" s="1"/>
  <c r="AH18" i="44"/>
  <c r="AL18" i="44" s="1"/>
  <c r="AN18" i="44"/>
  <c r="AB42" i="44"/>
  <c r="AA42" i="44"/>
  <c r="AA18" i="44"/>
  <c r="AB18" i="44" s="1"/>
  <c r="AH15" i="44"/>
  <c r="AL15" i="44" s="1"/>
  <c r="AH26" i="44"/>
  <c r="AL26" i="44" s="1"/>
  <c r="AQ26" i="44" s="1"/>
  <c r="AR26" i="44" s="1"/>
  <c r="W14" i="44"/>
  <c r="W63" i="44" s="1"/>
  <c r="AO40" i="45"/>
  <c r="AP40" i="45" s="1"/>
  <c r="AQ40" i="45"/>
  <c r="AR40" i="45" s="1"/>
  <c r="AB47" i="45"/>
  <c r="AB27" i="45"/>
  <c r="AO17" i="45"/>
  <c r="AP17" i="45" s="1"/>
  <c r="AQ17" i="45"/>
  <c r="AR17" i="45" s="1"/>
  <c r="AG53" i="45"/>
  <c r="AK53" i="45"/>
  <c r="AM18" i="45"/>
  <c r="AH14" i="45"/>
  <c r="AM14" i="45"/>
  <c r="S63" i="45"/>
  <c r="AB25" i="45"/>
  <c r="AB50" i="45"/>
  <c r="AH51" i="45"/>
  <c r="AL51" i="45" s="1"/>
  <c r="AM51" i="45"/>
  <c r="AG56" i="45"/>
  <c r="AK56" i="45"/>
  <c r="AL45" i="45"/>
  <c r="AQ45" i="45" s="1"/>
  <c r="AR45" i="45" s="1"/>
  <c r="AO45" i="45"/>
  <c r="AP45" i="45" s="1"/>
  <c r="AK44" i="45"/>
  <c r="AG44" i="45"/>
  <c r="AN44" i="45" s="1"/>
  <c r="AH41" i="45"/>
  <c r="AL41" i="45" s="1"/>
  <c r="AQ41" i="45" s="1"/>
  <c r="AR41" i="45" s="1"/>
  <c r="AB26" i="45"/>
  <c r="AB57" i="45"/>
  <c r="AG51" i="45"/>
  <c r="AN51" i="45" s="1"/>
  <c r="AK51" i="45"/>
  <c r="AH49" i="45"/>
  <c r="AL49" i="45" s="1"/>
  <c r="AB51" i="45"/>
  <c r="AK33" i="45"/>
  <c r="AG33" i="45"/>
  <c r="AN33" i="45" s="1"/>
  <c r="AA33" i="45"/>
  <c r="AB33" i="45" s="1"/>
  <c r="AA15" i="45"/>
  <c r="AB15" i="45" s="1"/>
  <c r="AB43" i="45"/>
  <c r="AB58" i="45"/>
  <c r="AM34" i="45"/>
  <c r="AH54" i="45"/>
  <c r="AL54" i="45" s="1"/>
  <c r="AM33" i="45"/>
  <c r="AH33" i="45"/>
  <c r="AL33" i="45" s="1"/>
  <c r="AG15" i="45"/>
  <c r="AK15" i="45"/>
  <c r="AH58" i="45"/>
  <c r="AL58" i="45" s="1"/>
  <c r="AG18" i="45"/>
  <c r="AN18" i="45" s="1"/>
  <c r="AK18" i="45"/>
  <c r="AK34" i="45"/>
  <c r="AG34" i="45"/>
  <c r="AN34" i="45" s="1"/>
  <c r="AB37" i="45"/>
  <c r="AB35" i="45"/>
  <c r="AG24" i="45"/>
  <c r="AN24" i="45" s="1"/>
  <c r="AK24" i="45"/>
  <c r="AK43" i="45"/>
  <c r="AG43" i="45"/>
  <c r="AN43" i="45" s="1"/>
  <c r="AM44" i="45"/>
  <c r="AG55" i="45"/>
  <c r="AK55" i="45"/>
  <c r="AH47" i="45"/>
  <c r="AL47" i="45" s="1"/>
  <c r="AM47" i="45"/>
  <c r="AA54" i="45"/>
  <c r="AB54" i="45" s="1"/>
  <c r="V63" i="45"/>
  <c r="E84" i="45" s="1"/>
  <c r="F84" i="45" s="1"/>
  <c r="H13" i="33" s="1"/>
  <c r="AO28" i="45"/>
  <c r="AP28" i="45" s="1"/>
  <c r="AQ28" i="45"/>
  <c r="AR28" i="45" s="1"/>
  <c r="AB19" i="45"/>
  <c r="AB16" i="45"/>
  <c r="AB36" i="45"/>
  <c r="AH32" i="45"/>
  <c r="AL32" i="45" s="1"/>
  <c r="AQ32" i="45" s="1"/>
  <c r="AR32" i="45" s="1"/>
  <c r="AB39" i="45"/>
  <c r="AM24" i="45"/>
  <c r="AQ29" i="45"/>
  <c r="AR29" i="45" s="1"/>
  <c r="AO29" i="45"/>
  <c r="AP29" i="45" s="1"/>
  <c r="AM43" i="45"/>
  <c r="AA46" i="45"/>
  <c r="AB46" i="45" s="1"/>
  <c r="AA48" i="45"/>
  <c r="AB48" i="45" s="1"/>
  <c r="AG30" i="45"/>
  <c r="AK30" i="45"/>
  <c r="AA55" i="45"/>
  <c r="AB55" i="45" s="1"/>
  <c r="AA47" i="45"/>
  <c r="AA42" i="45"/>
  <c r="AB42" i="45" s="1"/>
  <c r="W63" i="45"/>
  <c r="F87" i="45" s="1"/>
  <c r="H88" i="33" s="1"/>
  <c r="AA31" i="45"/>
  <c r="AB31" i="45" s="1"/>
  <c r="AH16" i="45"/>
  <c r="AL16" i="45" s="1"/>
  <c r="AN16" i="45"/>
  <c r="AB23" i="45"/>
  <c r="AB20" i="45"/>
  <c r="AB38" i="45"/>
  <c r="AA22" i="45"/>
  <c r="AB22" i="45" s="1"/>
  <c r="Y14" i="45"/>
  <c r="Z14" i="45"/>
  <c r="Z63" i="45" s="1"/>
  <c r="X14" i="45"/>
  <c r="X63" i="45" s="1"/>
  <c r="F86" i="43"/>
  <c r="G90" i="33" s="1"/>
  <c r="P58" i="43"/>
  <c r="O58" i="43"/>
  <c r="N58" i="43"/>
  <c r="L58" i="43"/>
  <c r="K58" i="43"/>
  <c r="I58" i="43"/>
  <c r="K61" i="43" s="1"/>
  <c r="AI53" i="43"/>
  <c r="AJ53" i="43" s="1"/>
  <c r="AF53" i="43"/>
  <c r="AE53" i="43"/>
  <c r="U53" i="43"/>
  <c r="Z53" i="43" s="1"/>
  <c r="AI52" i="43"/>
  <c r="AJ52" i="43" s="1"/>
  <c r="AF52" i="43"/>
  <c r="AE52" i="43"/>
  <c r="X52" i="43"/>
  <c r="V52" i="43"/>
  <c r="U52" i="43"/>
  <c r="W52" i="43" s="1"/>
  <c r="AI51" i="43"/>
  <c r="AJ51" i="43" s="1"/>
  <c r="AF51" i="43"/>
  <c r="AM51" i="43" s="1"/>
  <c r="AE51" i="43"/>
  <c r="AK51" i="43" s="1"/>
  <c r="Y51" i="43"/>
  <c r="X51" i="43"/>
  <c r="V51" i="43"/>
  <c r="U51" i="43"/>
  <c r="W51" i="43" s="1"/>
  <c r="J51" i="43"/>
  <c r="AI50" i="43"/>
  <c r="AJ50" i="43" s="1"/>
  <c r="AF50" i="43"/>
  <c r="AE50" i="43"/>
  <c r="Z50" i="43"/>
  <c r="Y50" i="43"/>
  <c r="U50" i="43"/>
  <c r="X50" i="43" s="1"/>
  <c r="AI49" i="43"/>
  <c r="AJ49" i="43" s="1"/>
  <c r="AF49" i="43"/>
  <c r="AE49" i="43"/>
  <c r="AG49" i="43" s="1"/>
  <c r="Y49" i="43"/>
  <c r="U49" i="43"/>
  <c r="Z49" i="43" s="1"/>
  <c r="AI48" i="43"/>
  <c r="AJ48" i="43" s="1"/>
  <c r="AF48" i="43"/>
  <c r="AE48" i="43"/>
  <c r="AK48" i="43" s="1"/>
  <c r="V48" i="43"/>
  <c r="U48" i="43"/>
  <c r="Z48" i="43" s="1"/>
  <c r="J48" i="43"/>
  <c r="AJ47" i="43"/>
  <c r="AI47" i="43"/>
  <c r="AF47" i="43"/>
  <c r="AM47" i="43" s="1"/>
  <c r="AE47" i="43"/>
  <c r="AK47" i="43" s="1"/>
  <c r="U47" i="43"/>
  <c r="Z47" i="43" s="1"/>
  <c r="AJ46" i="43"/>
  <c r="AI46" i="43"/>
  <c r="AF46" i="43"/>
  <c r="AM46" i="43" s="1"/>
  <c r="AE46" i="43"/>
  <c r="AG46" i="43" s="1"/>
  <c r="U46" i="43"/>
  <c r="Z46" i="43" s="1"/>
  <c r="J46" i="43"/>
  <c r="AI45" i="43"/>
  <c r="AJ45" i="43" s="1"/>
  <c r="AF45" i="43"/>
  <c r="AE45" i="43"/>
  <c r="AG45" i="43" s="1"/>
  <c r="U45" i="43"/>
  <c r="Z45" i="43" s="1"/>
  <c r="AI44" i="43"/>
  <c r="AJ44" i="43" s="1"/>
  <c r="AF44" i="43"/>
  <c r="AM44" i="43" s="1"/>
  <c r="AE44" i="43"/>
  <c r="AG44" i="43" s="1"/>
  <c r="AN44" i="43" s="1"/>
  <c r="U44" i="43"/>
  <c r="Z44" i="43" s="1"/>
  <c r="AJ43" i="43"/>
  <c r="AI43" i="43"/>
  <c r="AF43" i="43"/>
  <c r="AM43" i="43" s="1"/>
  <c r="AE43" i="43"/>
  <c r="V43" i="43"/>
  <c r="U43" i="43"/>
  <c r="Z43" i="43" s="1"/>
  <c r="J43" i="43"/>
  <c r="AI42" i="43"/>
  <c r="AJ42" i="43" s="1"/>
  <c r="AF42" i="43"/>
  <c r="AE42" i="43"/>
  <c r="AK42" i="43" s="1"/>
  <c r="V42" i="43"/>
  <c r="U42" i="43"/>
  <c r="Z42" i="43" s="1"/>
  <c r="AI41" i="43"/>
  <c r="AJ41" i="43" s="1"/>
  <c r="AF41" i="43"/>
  <c r="AE41" i="43"/>
  <c r="U41" i="43"/>
  <c r="Z41" i="43" s="1"/>
  <c r="AI40" i="43"/>
  <c r="AJ40" i="43" s="1"/>
  <c r="AF40" i="43"/>
  <c r="AE40" i="43"/>
  <c r="AK40" i="43" s="1"/>
  <c r="V40" i="43"/>
  <c r="U40" i="43"/>
  <c r="Z40" i="43" s="1"/>
  <c r="J40" i="43"/>
  <c r="AI39" i="43"/>
  <c r="AJ39" i="43" s="1"/>
  <c r="AF39" i="43"/>
  <c r="AM39" i="43" s="1"/>
  <c r="AE39" i="43"/>
  <c r="AK39" i="43" s="1"/>
  <c r="U39" i="43"/>
  <c r="W39" i="43" s="1"/>
  <c r="AI38" i="43"/>
  <c r="AJ38" i="43" s="1"/>
  <c r="AF38" i="43"/>
  <c r="AE38" i="43"/>
  <c r="AK38" i="43" s="1"/>
  <c r="W38" i="43"/>
  <c r="V38" i="43"/>
  <c r="U38" i="43"/>
  <c r="Y38" i="43" s="1"/>
  <c r="AI37" i="43"/>
  <c r="AJ37" i="43" s="1"/>
  <c r="AF37" i="43"/>
  <c r="AE37" i="43"/>
  <c r="AK37" i="43" s="1"/>
  <c r="U37" i="43"/>
  <c r="Z37" i="43" s="1"/>
  <c r="AI36" i="43"/>
  <c r="AJ36" i="43" s="1"/>
  <c r="AF36" i="43"/>
  <c r="AE36" i="43"/>
  <c r="V36" i="43"/>
  <c r="U36" i="43"/>
  <c r="Y36" i="43" s="1"/>
  <c r="AI35" i="43"/>
  <c r="AJ35" i="43" s="1"/>
  <c r="AF35" i="43"/>
  <c r="AM35" i="43" s="1"/>
  <c r="AE35" i="43"/>
  <c r="X35" i="43"/>
  <c r="V35" i="43"/>
  <c r="U35" i="43"/>
  <c r="Z35" i="43" s="1"/>
  <c r="J35" i="43"/>
  <c r="AI34" i="43"/>
  <c r="AJ34" i="43" s="1"/>
  <c r="AF34" i="43"/>
  <c r="AM34" i="43" s="1"/>
  <c r="AE34" i="43"/>
  <c r="V34" i="43"/>
  <c r="U34" i="43"/>
  <c r="W34" i="43" s="1"/>
  <c r="AI33" i="43"/>
  <c r="AJ33" i="43" s="1"/>
  <c r="AF33" i="43"/>
  <c r="AE33" i="43"/>
  <c r="V33" i="43"/>
  <c r="U33" i="43"/>
  <c r="W33" i="43" s="1"/>
  <c r="AI32" i="43"/>
  <c r="AJ32" i="43" s="1"/>
  <c r="AG32" i="43"/>
  <c r="AF32" i="43"/>
  <c r="AE32" i="43"/>
  <c r="V32" i="43"/>
  <c r="U32" i="43"/>
  <c r="Y32" i="43" s="1"/>
  <c r="AI31" i="43"/>
  <c r="AJ31" i="43" s="1"/>
  <c r="AF31" i="43"/>
  <c r="AM31" i="43" s="1"/>
  <c r="AE31" i="43"/>
  <c r="V31" i="43"/>
  <c r="U31" i="43"/>
  <c r="Y31" i="43" s="1"/>
  <c r="J31" i="43"/>
  <c r="AI30" i="43"/>
  <c r="AJ30" i="43" s="1"/>
  <c r="AF30" i="43"/>
  <c r="AE30" i="43"/>
  <c r="V30" i="43"/>
  <c r="U30" i="43"/>
  <c r="Y30" i="43" s="1"/>
  <c r="AI29" i="43"/>
  <c r="AJ29" i="43" s="1"/>
  <c r="AF29" i="43"/>
  <c r="AE29" i="43"/>
  <c r="AG29" i="43" s="1"/>
  <c r="Y29" i="43"/>
  <c r="X29" i="43"/>
  <c r="W29" i="43"/>
  <c r="V29" i="43"/>
  <c r="U29" i="43"/>
  <c r="Z29" i="43" s="1"/>
  <c r="AI28" i="43"/>
  <c r="AJ28" i="43" s="1"/>
  <c r="AF28" i="43"/>
  <c r="AE28" i="43"/>
  <c r="AG28" i="43" s="1"/>
  <c r="AN28" i="43" s="1"/>
  <c r="Z28" i="43"/>
  <c r="V28" i="43"/>
  <c r="U28" i="43"/>
  <c r="Y28" i="43" s="1"/>
  <c r="J28" i="43"/>
  <c r="AI27" i="43"/>
  <c r="AJ27" i="43" s="1"/>
  <c r="AF27" i="43"/>
  <c r="AE27" i="43"/>
  <c r="AG27" i="43" s="1"/>
  <c r="AN27" i="43" s="1"/>
  <c r="V27" i="43"/>
  <c r="U27" i="43"/>
  <c r="Z27" i="43" s="1"/>
  <c r="AI26" i="43"/>
  <c r="AJ26" i="43" s="1"/>
  <c r="AF26" i="43"/>
  <c r="AE26" i="43"/>
  <c r="AK26" i="43" s="1"/>
  <c r="U26" i="43"/>
  <c r="Z26" i="43" s="1"/>
  <c r="AJ25" i="43"/>
  <c r="AI25" i="43"/>
  <c r="AF25" i="43"/>
  <c r="AE25" i="43"/>
  <c r="AG25" i="43" s="1"/>
  <c r="U25" i="43"/>
  <c r="Z25" i="43" s="1"/>
  <c r="J25" i="43"/>
  <c r="AM24" i="43"/>
  <c r="AI24" i="43"/>
  <c r="AJ24" i="43" s="1"/>
  <c r="AF24" i="43"/>
  <c r="AE24" i="43"/>
  <c r="AG24" i="43" s="1"/>
  <c r="V24" i="43"/>
  <c r="U24" i="43"/>
  <c r="Z24" i="43" s="1"/>
  <c r="AM23" i="43"/>
  <c r="AI23" i="43"/>
  <c r="AJ23" i="43" s="1"/>
  <c r="AF23" i="43"/>
  <c r="AE23" i="43"/>
  <c r="AG23" i="43" s="1"/>
  <c r="AN23" i="43" s="1"/>
  <c r="U23" i="43"/>
  <c r="Z23" i="43" s="1"/>
  <c r="AI22" i="43"/>
  <c r="AJ22" i="43" s="1"/>
  <c r="AF22" i="43"/>
  <c r="AH22" i="43" s="1"/>
  <c r="AL22" i="43" s="1"/>
  <c r="AE22" i="43"/>
  <c r="AG22" i="43" s="1"/>
  <c r="AN22" i="43" s="1"/>
  <c r="V22" i="43"/>
  <c r="U22" i="43"/>
  <c r="Z22" i="43" s="1"/>
  <c r="J22" i="43"/>
  <c r="AI21" i="43"/>
  <c r="AF21" i="43"/>
  <c r="AE21" i="43"/>
  <c r="AG21" i="43" s="1"/>
  <c r="AN21" i="43" s="1"/>
  <c r="V21" i="43"/>
  <c r="U21" i="43"/>
  <c r="Z21" i="43" s="1"/>
  <c r="AI20" i="43"/>
  <c r="AF20" i="43"/>
  <c r="AE20" i="43"/>
  <c r="V20" i="43"/>
  <c r="U20" i="43"/>
  <c r="Z20" i="43" s="1"/>
  <c r="AI19" i="43"/>
  <c r="AF19" i="43"/>
  <c r="AE19" i="43"/>
  <c r="U19" i="43"/>
  <c r="Z19" i="43" s="1"/>
  <c r="AI18" i="43"/>
  <c r="AJ18" i="43" s="1"/>
  <c r="AF18" i="43"/>
  <c r="AM18" i="43" s="1"/>
  <c r="AE18" i="43"/>
  <c r="V18" i="43"/>
  <c r="U18" i="43"/>
  <c r="Z18" i="43" s="1"/>
  <c r="J18" i="43"/>
  <c r="AI17" i="43"/>
  <c r="AJ17" i="43" s="1"/>
  <c r="AF17" i="43"/>
  <c r="AM17" i="43" s="1"/>
  <c r="AE17" i="43"/>
  <c r="AK17" i="43" s="1"/>
  <c r="V17" i="43"/>
  <c r="U17" i="43"/>
  <c r="W17" i="43" s="1"/>
  <c r="AI16" i="43"/>
  <c r="AJ16" i="43" s="1"/>
  <c r="AF16" i="43"/>
  <c r="AM16" i="43" s="1"/>
  <c r="AE16" i="43"/>
  <c r="AK16" i="43" s="1"/>
  <c r="U16" i="43"/>
  <c r="W16" i="43" s="1"/>
  <c r="AI15" i="43"/>
  <c r="AJ15" i="43" s="1"/>
  <c r="AF15" i="43"/>
  <c r="AM15" i="43" s="1"/>
  <c r="AE15" i="43"/>
  <c r="AK15" i="43" s="1"/>
  <c r="U15" i="43"/>
  <c r="W15" i="43" s="1"/>
  <c r="AI14" i="43"/>
  <c r="AF14" i="43"/>
  <c r="AE14" i="43"/>
  <c r="U14" i="43"/>
  <c r="W14" i="43" s="1"/>
  <c r="J14" i="43"/>
  <c r="Q4" i="43"/>
  <c r="T38" i="43" s="1"/>
  <c r="Q3" i="43"/>
  <c r="S38" i="43" s="1"/>
  <c r="J14" i="42"/>
  <c r="P58" i="42"/>
  <c r="O58" i="42"/>
  <c r="N58" i="42"/>
  <c r="L58" i="42"/>
  <c r="K58" i="42"/>
  <c r="J58" i="42"/>
  <c r="K66" i="42" s="1"/>
  <c r="I58" i="42"/>
  <c r="K61" i="42" s="1"/>
  <c r="E72" i="42" s="1"/>
  <c r="E73" i="42" s="1"/>
  <c r="D81" i="42" s="1"/>
  <c r="AI53" i="42"/>
  <c r="AJ53" i="42" s="1"/>
  <c r="AF53" i="42"/>
  <c r="AM53" i="42" s="1"/>
  <c r="AE53" i="42"/>
  <c r="U53" i="42"/>
  <c r="V53" i="42" s="1"/>
  <c r="AI52" i="42"/>
  <c r="AJ52" i="42" s="1"/>
  <c r="AF52" i="42"/>
  <c r="AE52" i="42"/>
  <c r="V52" i="42"/>
  <c r="U52" i="42"/>
  <c r="X52" i="42" s="1"/>
  <c r="AI51" i="42"/>
  <c r="AJ51" i="42" s="1"/>
  <c r="AF51" i="42"/>
  <c r="AE51" i="42"/>
  <c r="V51" i="42"/>
  <c r="U51" i="42"/>
  <c r="X51" i="42" s="1"/>
  <c r="J51" i="42"/>
  <c r="AI50" i="42"/>
  <c r="AJ50" i="42" s="1"/>
  <c r="AF50" i="42"/>
  <c r="AM50" i="42" s="1"/>
  <c r="AE50" i="42"/>
  <c r="AG50" i="42" s="1"/>
  <c r="AN50" i="42" s="1"/>
  <c r="Y50" i="42"/>
  <c r="X50" i="42"/>
  <c r="V50" i="42"/>
  <c r="U50" i="42"/>
  <c r="Z50" i="42" s="1"/>
  <c r="AI49" i="42"/>
  <c r="AJ49" i="42" s="1"/>
  <c r="AF49" i="42"/>
  <c r="AM49" i="42" s="1"/>
  <c r="AE49" i="42"/>
  <c r="AG49" i="42" s="1"/>
  <c r="U49" i="42"/>
  <c r="V49" i="42" s="1"/>
  <c r="AI48" i="42"/>
  <c r="AJ48" i="42" s="1"/>
  <c r="AF48" i="42"/>
  <c r="AE48" i="42"/>
  <c r="Y48" i="42"/>
  <c r="V48" i="42"/>
  <c r="U48" i="42"/>
  <c r="W48" i="42" s="1"/>
  <c r="J48" i="42"/>
  <c r="AI47" i="42"/>
  <c r="AJ47" i="42" s="1"/>
  <c r="AF47" i="42"/>
  <c r="AE47" i="42"/>
  <c r="AK47" i="42" s="1"/>
  <c r="Z47" i="42"/>
  <c r="U47" i="42"/>
  <c r="X47" i="42" s="1"/>
  <c r="AI46" i="42"/>
  <c r="AJ46" i="42" s="1"/>
  <c r="AF46" i="42"/>
  <c r="AE46" i="42"/>
  <c r="AK46" i="42" s="1"/>
  <c r="U46" i="42"/>
  <c r="X46" i="42" s="1"/>
  <c r="J46" i="42"/>
  <c r="AI45" i="42"/>
  <c r="AF45" i="42"/>
  <c r="AE45" i="42"/>
  <c r="AG45" i="42" s="1"/>
  <c r="Z45" i="42"/>
  <c r="U45" i="42"/>
  <c r="X45" i="42" s="1"/>
  <c r="AI44" i="42"/>
  <c r="AF44" i="42"/>
  <c r="AE44" i="42"/>
  <c r="AG44" i="42" s="1"/>
  <c r="U44" i="42"/>
  <c r="Z44" i="42" s="1"/>
  <c r="AI43" i="42"/>
  <c r="AF43" i="42"/>
  <c r="AM43" i="42" s="1"/>
  <c r="AE43" i="42"/>
  <c r="AG43" i="42" s="1"/>
  <c r="AN43" i="42" s="1"/>
  <c r="V43" i="42"/>
  <c r="U43" i="42"/>
  <c r="Z43" i="42" s="1"/>
  <c r="J43" i="42"/>
  <c r="AI42" i="42"/>
  <c r="AJ42" i="42" s="1"/>
  <c r="AF42" i="42"/>
  <c r="AM42" i="42" s="1"/>
  <c r="AE42" i="42"/>
  <c r="AG42" i="42" s="1"/>
  <c r="V42" i="42"/>
  <c r="U42" i="42"/>
  <c r="Z42" i="42" s="1"/>
  <c r="AI41" i="42"/>
  <c r="AJ41" i="42" s="1"/>
  <c r="AG41" i="42"/>
  <c r="AN41" i="42" s="1"/>
  <c r="AF41" i="42"/>
  <c r="AE41" i="42"/>
  <c r="V41" i="42"/>
  <c r="U41" i="42"/>
  <c r="Z41" i="42" s="1"/>
  <c r="AI40" i="42"/>
  <c r="AF40" i="42"/>
  <c r="AE40" i="42"/>
  <c r="AG40" i="42" s="1"/>
  <c r="V40" i="42"/>
  <c r="U40" i="42"/>
  <c r="Y40" i="42" s="1"/>
  <c r="J40" i="42"/>
  <c r="AI39" i="42"/>
  <c r="AF39" i="42"/>
  <c r="AE39" i="42"/>
  <c r="AG39" i="42" s="1"/>
  <c r="AN39" i="42" s="1"/>
  <c r="U39" i="42"/>
  <c r="Z39" i="42" s="1"/>
  <c r="AI38" i="42"/>
  <c r="AJ38" i="42" s="1"/>
  <c r="AF38" i="42"/>
  <c r="AE38" i="42"/>
  <c r="AG38" i="42" s="1"/>
  <c r="V38" i="42"/>
  <c r="U38" i="42"/>
  <c r="Z38" i="42" s="1"/>
  <c r="AI37" i="42"/>
  <c r="AJ37" i="42" s="1"/>
  <c r="AF37" i="42"/>
  <c r="AM37" i="42" s="1"/>
  <c r="AE37" i="42"/>
  <c r="AG37" i="42" s="1"/>
  <c r="U37" i="42"/>
  <c r="V37" i="42" s="1"/>
  <c r="AI36" i="42"/>
  <c r="AJ36" i="42" s="1"/>
  <c r="AF36" i="42"/>
  <c r="AE36" i="42"/>
  <c r="V36" i="42"/>
  <c r="U36" i="42"/>
  <c r="X36" i="42" s="1"/>
  <c r="AI35" i="42"/>
  <c r="AF35" i="42"/>
  <c r="AE35" i="42"/>
  <c r="V35" i="42"/>
  <c r="U35" i="42"/>
  <c r="W35" i="42" s="1"/>
  <c r="J35" i="42"/>
  <c r="AI34" i="42"/>
  <c r="AJ34" i="42" s="1"/>
  <c r="AF34" i="42"/>
  <c r="AM34" i="42" s="1"/>
  <c r="AE34" i="42"/>
  <c r="AK34" i="42" s="1"/>
  <c r="V34" i="42"/>
  <c r="U34" i="42"/>
  <c r="Y34" i="42" s="1"/>
  <c r="AI33" i="42"/>
  <c r="AJ33" i="42" s="1"/>
  <c r="AF33" i="42"/>
  <c r="AM33" i="42" s="1"/>
  <c r="AE33" i="42"/>
  <c r="AK33" i="42" s="1"/>
  <c r="V33" i="42"/>
  <c r="U33" i="42"/>
  <c r="Y33" i="42" s="1"/>
  <c r="AI32" i="42"/>
  <c r="AJ32" i="42" s="1"/>
  <c r="AF32" i="42"/>
  <c r="AE32" i="42"/>
  <c r="V32" i="42"/>
  <c r="U32" i="42"/>
  <c r="Z32" i="42" s="1"/>
  <c r="AI31" i="42"/>
  <c r="AJ31" i="42" s="1"/>
  <c r="AF31" i="42"/>
  <c r="AE31" i="42"/>
  <c r="AG31" i="42" s="1"/>
  <c r="AN31" i="42" s="1"/>
  <c r="X31" i="42"/>
  <c r="W31" i="42"/>
  <c r="V31" i="42"/>
  <c r="U31" i="42"/>
  <c r="Z31" i="42" s="1"/>
  <c r="J31" i="42"/>
  <c r="AI30" i="42"/>
  <c r="AJ30" i="42" s="1"/>
  <c r="AF30" i="42"/>
  <c r="AE30" i="42"/>
  <c r="Z30" i="42"/>
  <c r="V30" i="42"/>
  <c r="U30" i="42"/>
  <c r="Y30" i="42" s="1"/>
  <c r="AI29" i="42"/>
  <c r="AJ29" i="42" s="1"/>
  <c r="AF29" i="42"/>
  <c r="AE29" i="42"/>
  <c r="Z29" i="42"/>
  <c r="X29" i="42"/>
  <c r="W29" i="42"/>
  <c r="V29" i="42"/>
  <c r="U29" i="42"/>
  <c r="Y29" i="42" s="1"/>
  <c r="AJ28" i="42"/>
  <c r="AI28" i="42"/>
  <c r="AF28" i="42"/>
  <c r="AM28" i="42" s="1"/>
  <c r="AE28" i="42"/>
  <c r="AK28" i="42" s="1"/>
  <c r="V28" i="42"/>
  <c r="U28" i="42"/>
  <c r="W28" i="42" s="1"/>
  <c r="J28" i="42"/>
  <c r="AI27" i="42"/>
  <c r="AJ27" i="42" s="1"/>
  <c r="AF27" i="42"/>
  <c r="AE27" i="42"/>
  <c r="AG27" i="42" s="1"/>
  <c r="Z27" i="42"/>
  <c r="Y27" i="42"/>
  <c r="AA27" i="42" s="1"/>
  <c r="V27" i="42"/>
  <c r="U27" i="42"/>
  <c r="X27" i="42" s="1"/>
  <c r="AI26" i="42"/>
  <c r="AJ26" i="42" s="1"/>
  <c r="AF26" i="42"/>
  <c r="AE26" i="42"/>
  <c r="AG26" i="42" s="1"/>
  <c r="AN26" i="42" s="1"/>
  <c r="Z26" i="42"/>
  <c r="Y26" i="42"/>
  <c r="AA26" i="42" s="1"/>
  <c r="U26" i="42"/>
  <c r="X26" i="42" s="1"/>
  <c r="AI25" i="42"/>
  <c r="AJ25" i="42" s="1"/>
  <c r="AF25" i="42"/>
  <c r="AE25" i="42"/>
  <c r="AK25" i="42" s="1"/>
  <c r="Z25" i="42"/>
  <c r="Y25" i="42"/>
  <c r="AA25" i="42" s="1"/>
  <c r="X25" i="42"/>
  <c r="U25" i="42"/>
  <c r="W25" i="42" s="1"/>
  <c r="J25" i="42"/>
  <c r="AI24" i="42"/>
  <c r="AF24" i="42"/>
  <c r="AE24" i="42"/>
  <c r="AG24" i="42" s="1"/>
  <c r="Y24" i="42"/>
  <c r="V24" i="42"/>
  <c r="U24" i="42"/>
  <c r="X24" i="42" s="1"/>
  <c r="AI23" i="42"/>
  <c r="AJ23" i="42" s="1"/>
  <c r="AF23" i="42"/>
  <c r="AM23" i="42" s="1"/>
  <c r="AE23" i="42"/>
  <c r="AG23" i="42" s="1"/>
  <c r="AN23" i="42" s="1"/>
  <c r="Z23" i="42"/>
  <c r="U23" i="42"/>
  <c r="X23" i="42" s="1"/>
  <c r="AI22" i="42"/>
  <c r="AF22" i="42"/>
  <c r="AE22" i="42"/>
  <c r="AG22" i="42" s="1"/>
  <c r="V22" i="42"/>
  <c r="U22" i="42"/>
  <c r="Z22" i="42" s="1"/>
  <c r="J22" i="42"/>
  <c r="AI21" i="42"/>
  <c r="AF21" i="42"/>
  <c r="AE21" i="42"/>
  <c r="AG21" i="42" s="1"/>
  <c r="AN21" i="42" s="1"/>
  <c r="V21" i="42"/>
  <c r="U21" i="42"/>
  <c r="Z21" i="42" s="1"/>
  <c r="AI20" i="42"/>
  <c r="AF20" i="42"/>
  <c r="AE20" i="42"/>
  <c r="AG20" i="42" s="1"/>
  <c r="AN20" i="42" s="1"/>
  <c r="V20" i="42"/>
  <c r="U20" i="42"/>
  <c r="Z20" i="42" s="1"/>
  <c r="AI19" i="42"/>
  <c r="AF19" i="42"/>
  <c r="AE19" i="42"/>
  <c r="AG19" i="42" s="1"/>
  <c r="AN19" i="42" s="1"/>
  <c r="U19" i="42"/>
  <c r="Z19" i="42" s="1"/>
  <c r="AI18" i="42"/>
  <c r="AJ18" i="42" s="1"/>
  <c r="AF18" i="42"/>
  <c r="AM18" i="42" s="1"/>
  <c r="AE18" i="42"/>
  <c r="AK18" i="42" s="1"/>
  <c r="X18" i="42"/>
  <c r="V18" i="42"/>
  <c r="U18" i="42"/>
  <c r="Z18" i="42" s="1"/>
  <c r="J18" i="42"/>
  <c r="AI17" i="42"/>
  <c r="AF17" i="42"/>
  <c r="AE17" i="42"/>
  <c r="AG17" i="42" s="1"/>
  <c r="X17" i="42"/>
  <c r="W17" i="42"/>
  <c r="V17" i="42"/>
  <c r="U17" i="42"/>
  <c r="Z17" i="42" s="1"/>
  <c r="AI16" i="42"/>
  <c r="AF16" i="42"/>
  <c r="AE16" i="42"/>
  <c r="AG16" i="42" s="1"/>
  <c r="AH16" i="42" s="1"/>
  <c r="AL16" i="42" s="1"/>
  <c r="U16" i="42"/>
  <c r="Z16" i="42" s="1"/>
  <c r="AI15" i="42"/>
  <c r="AJ15" i="42" s="1"/>
  <c r="AF15" i="42"/>
  <c r="AE15" i="42"/>
  <c r="U15" i="42"/>
  <c r="Y15" i="42" s="1"/>
  <c r="AI14" i="42"/>
  <c r="AJ14" i="42" s="1"/>
  <c r="AF14" i="42"/>
  <c r="AM14" i="42" s="1"/>
  <c r="AE14" i="42"/>
  <c r="AG14" i="42" s="1"/>
  <c r="U14" i="42"/>
  <c r="W14" i="42" s="1"/>
  <c r="Q4" i="42"/>
  <c r="T39" i="42" s="1"/>
  <c r="Q3" i="42"/>
  <c r="S47" i="42" s="1"/>
  <c r="F84" i="46" l="1"/>
  <c r="I13" i="33" s="1"/>
  <c r="E91" i="46"/>
  <c r="AL63" i="47"/>
  <c r="AQ20" i="47"/>
  <c r="AR20" i="47" s="1"/>
  <c r="AL66" i="47"/>
  <c r="AL67" i="47" s="1"/>
  <c r="AB63" i="47"/>
  <c r="AO14" i="47"/>
  <c r="AQ14" i="47"/>
  <c r="R66" i="47"/>
  <c r="R67" i="47" s="1"/>
  <c r="R69" i="47"/>
  <c r="R70" i="47" s="1"/>
  <c r="AL63" i="46"/>
  <c r="AL66" i="46"/>
  <c r="AL67" i="46" s="1"/>
  <c r="AB63" i="46"/>
  <c r="AO14" i="46"/>
  <c r="AQ14" i="46"/>
  <c r="AH23" i="43"/>
  <c r="AL23" i="43" s="1"/>
  <c r="AQ56" i="44"/>
  <c r="AR56" i="44" s="1"/>
  <c r="AO56" i="44"/>
  <c r="AP56" i="44" s="1"/>
  <c r="AK17" i="42"/>
  <c r="AK19" i="42"/>
  <c r="AK21" i="42"/>
  <c r="V23" i="42"/>
  <c r="AA29" i="42"/>
  <c r="T33" i="42"/>
  <c r="AK37" i="42"/>
  <c r="AK38" i="42"/>
  <c r="AN45" i="42"/>
  <c r="Z49" i="42"/>
  <c r="W50" i="42"/>
  <c r="AK14" i="43"/>
  <c r="T18" i="43"/>
  <c r="AK20" i="43"/>
  <c r="AK23" i="43"/>
  <c r="Z31" i="43"/>
  <c r="Z32" i="43"/>
  <c r="AK33" i="43"/>
  <c r="Y34" i="43"/>
  <c r="AK36" i="43"/>
  <c r="AN45" i="43"/>
  <c r="V49" i="43"/>
  <c r="AH43" i="45"/>
  <c r="AL43" i="45" s="1"/>
  <c r="AP23" i="44"/>
  <c r="AR35" i="44"/>
  <c r="AR22" i="44"/>
  <c r="AH34" i="44"/>
  <c r="AL34" i="44" s="1"/>
  <c r="AR19" i="44"/>
  <c r="AN31" i="45"/>
  <c r="AH31" i="45"/>
  <c r="AL31" i="45" s="1"/>
  <c r="Y23" i="42"/>
  <c r="W24" i="42"/>
  <c r="V25" i="42"/>
  <c r="AA30" i="42"/>
  <c r="AM36" i="42"/>
  <c r="AH41" i="42"/>
  <c r="AL41" i="42" s="1"/>
  <c r="AM45" i="42"/>
  <c r="AM14" i="43"/>
  <c r="T16" i="43"/>
  <c r="AK19" i="43"/>
  <c r="AA28" i="43"/>
  <c r="AK31" i="43"/>
  <c r="AK34" i="43"/>
  <c r="AK35" i="43"/>
  <c r="AM36" i="43"/>
  <c r="AM45" i="43"/>
  <c r="AK50" i="43"/>
  <c r="AH34" i="45"/>
  <c r="AL34" i="45" s="1"/>
  <c r="AQ34" i="45" s="1"/>
  <c r="AR34" i="45" s="1"/>
  <c r="AP57" i="44"/>
  <c r="AP29" i="44"/>
  <c r="AP19" i="44"/>
  <c r="AN47" i="44"/>
  <c r="AH47" i="44"/>
  <c r="AL47" i="44" s="1"/>
  <c r="AQ47" i="44" s="1"/>
  <c r="AR47" i="44" s="1"/>
  <c r="AN52" i="45"/>
  <c r="AH52" i="45"/>
  <c r="AH39" i="42"/>
  <c r="AL39" i="42" s="1"/>
  <c r="AM44" i="42"/>
  <c r="T15" i="43"/>
  <c r="T21" i="43"/>
  <c r="T24" i="43"/>
  <c r="W26" i="43"/>
  <c r="K62" i="43"/>
  <c r="AQ15" i="44"/>
  <c r="AR15" i="44" s="1"/>
  <c r="AR25" i="44"/>
  <c r="AR46" i="44"/>
  <c r="AR58" i="44"/>
  <c r="AQ54" i="44"/>
  <c r="AR54" i="44" s="1"/>
  <c r="AP39" i="44"/>
  <c r="AR17" i="44"/>
  <c r="AR50" i="44"/>
  <c r="AA23" i="42"/>
  <c r="AM20" i="42"/>
  <c r="AM21" i="42"/>
  <c r="AN27" i="42"/>
  <c r="AK30" i="42"/>
  <c r="AK32" i="42"/>
  <c r="AM35" i="42"/>
  <c r="AN37" i="42"/>
  <c r="AK40" i="42"/>
  <c r="AK41" i="42"/>
  <c r="AK42" i="42"/>
  <c r="AK43" i="42"/>
  <c r="AK49" i="42"/>
  <c r="AK53" i="42"/>
  <c r="T20" i="43"/>
  <c r="AA29" i="43"/>
  <c r="W30" i="43"/>
  <c r="AP25" i="44"/>
  <c r="AP49" i="44"/>
  <c r="AR39" i="44"/>
  <c r="AM63" i="44"/>
  <c r="AP17" i="44"/>
  <c r="AO24" i="44"/>
  <c r="AP24" i="44" s="1"/>
  <c r="AP16" i="44"/>
  <c r="AM19" i="42"/>
  <c r="AK15" i="42"/>
  <c r="AJ19" i="42"/>
  <c r="AJ20" i="42"/>
  <c r="AJ21" i="42"/>
  <c r="AM22" i="42"/>
  <c r="AK24" i="42"/>
  <c r="AM26" i="42"/>
  <c r="AM30" i="42"/>
  <c r="Y31" i="42"/>
  <c r="AM38" i="42"/>
  <c r="AK39" i="42"/>
  <c r="AJ43" i="42"/>
  <c r="V45" i="42"/>
  <c r="T14" i="43"/>
  <c r="AM28" i="43"/>
  <c r="X30" i="43"/>
  <c r="AM37" i="43"/>
  <c r="AM38" i="43"/>
  <c r="AK53" i="43"/>
  <c r="AP37" i="44"/>
  <c r="AR49" i="44"/>
  <c r="AR16" i="44"/>
  <c r="AH21" i="45"/>
  <c r="AK16" i="42"/>
  <c r="AK20" i="42"/>
  <c r="T34" i="42"/>
  <c r="S35" i="42"/>
  <c r="T17" i="43"/>
  <c r="J58" i="43"/>
  <c r="K66" i="43" s="1"/>
  <c r="T19" i="43"/>
  <c r="AK27" i="43"/>
  <c r="Z30" i="43"/>
  <c r="AA30" i="43" s="1"/>
  <c r="X31" i="43"/>
  <c r="X34" i="43"/>
  <c r="Z36" i="43"/>
  <c r="AA36" i="43" s="1"/>
  <c r="AK41" i="43"/>
  <c r="AM53" i="43"/>
  <c r="AR37" i="44"/>
  <c r="AR23" i="44"/>
  <c r="AQ33" i="44"/>
  <c r="AR33" i="44" s="1"/>
  <c r="AP22" i="44"/>
  <c r="AQ34" i="44"/>
  <c r="AR34" i="44" s="1"/>
  <c r="AO34" i="44"/>
  <c r="AP34" i="44" s="1"/>
  <c r="AO53" i="44"/>
  <c r="AP53" i="44" s="1"/>
  <c r="AQ53" i="44"/>
  <c r="AR53" i="44" s="1"/>
  <c r="AQ51" i="44"/>
  <c r="AR51" i="44" s="1"/>
  <c r="AO51" i="44"/>
  <c r="AP51" i="44" s="1"/>
  <c r="AQ27" i="44"/>
  <c r="AR27" i="44" s="1"/>
  <c r="AQ18" i="44"/>
  <c r="AR18" i="44" s="1"/>
  <c r="AO18" i="44"/>
  <c r="AP18" i="44" s="1"/>
  <c r="AN21" i="44"/>
  <c r="AH21" i="44"/>
  <c r="AN31" i="44"/>
  <c r="AH31" i="44"/>
  <c r="AH28" i="44"/>
  <c r="AH63" i="44" s="1"/>
  <c r="AH66" i="44" s="1"/>
  <c r="AH67" i="44" s="1"/>
  <c r="AO26" i="44"/>
  <c r="AP26" i="44" s="1"/>
  <c r="AQ43" i="44"/>
  <c r="AR43" i="44" s="1"/>
  <c r="AO43" i="44"/>
  <c r="AP43" i="44" s="1"/>
  <c r="AN30" i="44"/>
  <c r="AH30" i="44"/>
  <c r="AQ38" i="44"/>
  <c r="AR38" i="44" s="1"/>
  <c r="AO38" i="44"/>
  <c r="AP38" i="44" s="1"/>
  <c r="AN27" i="44"/>
  <c r="AH27" i="44"/>
  <c r="AL27" i="44" s="1"/>
  <c r="AN42" i="44"/>
  <c r="AH42" i="44"/>
  <c r="AL42" i="44" s="1"/>
  <c r="AQ42" i="44" s="1"/>
  <c r="AR42" i="44" s="1"/>
  <c r="AO33" i="44"/>
  <c r="AP33" i="44" s="1"/>
  <c r="AO54" i="44"/>
  <c r="AP54" i="44" s="1"/>
  <c r="AQ36" i="44"/>
  <c r="AR36" i="44" s="1"/>
  <c r="AO36" i="44"/>
  <c r="AP36" i="44" s="1"/>
  <c r="AN48" i="44"/>
  <c r="AH48" i="44"/>
  <c r="AL48" i="44" s="1"/>
  <c r="AQ48" i="44" s="1"/>
  <c r="AR48" i="44" s="1"/>
  <c r="AO46" i="44"/>
  <c r="AP46" i="44" s="1"/>
  <c r="AN52" i="44"/>
  <c r="AH52" i="44"/>
  <c r="AL52" i="44" s="1"/>
  <c r="AQ52" i="44" s="1"/>
  <c r="AR52" i="44" s="1"/>
  <c r="AQ20" i="44"/>
  <c r="AR20" i="44" s="1"/>
  <c r="AO20" i="44"/>
  <c r="AP20" i="44" s="1"/>
  <c r="AQ41" i="44"/>
  <c r="AR41" i="44" s="1"/>
  <c r="AO41" i="44"/>
  <c r="AP41" i="44" s="1"/>
  <c r="AO15" i="44"/>
  <c r="AP15" i="44" s="1"/>
  <c r="AO47" i="44"/>
  <c r="AP47" i="44" s="1"/>
  <c r="AN55" i="44"/>
  <c r="AH55" i="44"/>
  <c r="AO35" i="44"/>
  <c r="AP35" i="44" s="1"/>
  <c r="Y63" i="44"/>
  <c r="AA14" i="44"/>
  <c r="AL45" i="44"/>
  <c r="AQ45" i="44" s="1"/>
  <c r="AR45" i="44" s="1"/>
  <c r="AO45" i="44"/>
  <c r="AP45" i="44" s="1"/>
  <c r="AN44" i="44"/>
  <c r="AH44" i="44"/>
  <c r="AL44" i="44" s="1"/>
  <c r="AQ44" i="44" s="1"/>
  <c r="AR44" i="44" s="1"/>
  <c r="AO40" i="44"/>
  <c r="AP40" i="44" s="1"/>
  <c r="AQ40" i="44"/>
  <c r="AR40" i="44" s="1"/>
  <c r="AO32" i="44"/>
  <c r="AP32" i="44" s="1"/>
  <c r="AQ33" i="45"/>
  <c r="AR33" i="45" s="1"/>
  <c r="AO33" i="45"/>
  <c r="AP33" i="45" s="1"/>
  <c r="AQ22" i="45"/>
  <c r="AR22" i="45" s="1"/>
  <c r="AO22" i="45"/>
  <c r="AP22" i="45" s="1"/>
  <c r="AO46" i="45"/>
  <c r="AP46" i="45" s="1"/>
  <c r="AQ46" i="45"/>
  <c r="AR46" i="45" s="1"/>
  <c r="AQ16" i="45"/>
  <c r="AR16" i="45" s="1"/>
  <c r="AO16" i="45"/>
  <c r="AP16" i="45" s="1"/>
  <c r="AN15" i="45"/>
  <c r="AH15" i="45"/>
  <c r="AL15" i="45" s="1"/>
  <c r="AQ15" i="45" s="1"/>
  <c r="AR15" i="45" s="1"/>
  <c r="AQ51" i="45"/>
  <c r="AR51" i="45" s="1"/>
  <c r="AO51" i="45"/>
  <c r="AP51" i="45" s="1"/>
  <c r="AQ26" i="45"/>
  <c r="AR26" i="45" s="1"/>
  <c r="AO26" i="45"/>
  <c r="AP26" i="45" s="1"/>
  <c r="AN56" i="45"/>
  <c r="AH56" i="45"/>
  <c r="AM63" i="45"/>
  <c r="AQ19" i="45"/>
  <c r="AR19" i="45" s="1"/>
  <c r="AO19" i="45"/>
  <c r="AP19" i="45" s="1"/>
  <c r="AQ58" i="45"/>
  <c r="AR58" i="45" s="1"/>
  <c r="AO58" i="45"/>
  <c r="AP58" i="45" s="1"/>
  <c r="AO49" i="45"/>
  <c r="AP49" i="45" s="1"/>
  <c r="AL14" i="45"/>
  <c r="AQ31" i="45"/>
  <c r="AR31" i="45" s="1"/>
  <c r="AO31" i="45"/>
  <c r="AP31" i="45" s="1"/>
  <c r="Y63" i="45"/>
  <c r="E85" i="45" s="1"/>
  <c r="F85" i="45" s="1"/>
  <c r="AA14" i="45"/>
  <c r="AQ48" i="45"/>
  <c r="AR48" i="45" s="1"/>
  <c r="AO48" i="45"/>
  <c r="AP48" i="45" s="1"/>
  <c r="AH24" i="45"/>
  <c r="AN55" i="45"/>
  <c r="AH55" i="45"/>
  <c r="AL55" i="45" s="1"/>
  <c r="AQ55" i="45" s="1"/>
  <c r="AR55" i="45" s="1"/>
  <c r="AQ50" i="45"/>
  <c r="AR50" i="45" s="1"/>
  <c r="AO50" i="45"/>
  <c r="AP50" i="45" s="1"/>
  <c r="AH18" i="45"/>
  <c r="AQ47" i="45"/>
  <c r="AR47" i="45" s="1"/>
  <c r="AO47" i="45"/>
  <c r="AP47" i="45" s="1"/>
  <c r="AO32" i="45"/>
  <c r="AP32" i="45" s="1"/>
  <c r="AQ39" i="45"/>
  <c r="AR39" i="45" s="1"/>
  <c r="AO39" i="45"/>
  <c r="AP39" i="45" s="1"/>
  <c r="AH44" i="45"/>
  <c r="AQ43" i="45"/>
  <c r="AR43" i="45" s="1"/>
  <c r="AO43" i="45"/>
  <c r="AP43" i="45" s="1"/>
  <c r="AO34" i="45"/>
  <c r="AP34" i="45" s="1"/>
  <c r="AQ38" i="45"/>
  <c r="AR38" i="45" s="1"/>
  <c r="AO38" i="45"/>
  <c r="AP38" i="45" s="1"/>
  <c r="AQ42" i="45"/>
  <c r="AR42" i="45" s="1"/>
  <c r="AO42" i="45"/>
  <c r="AP42" i="45" s="1"/>
  <c r="AQ35" i="45"/>
  <c r="AR35" i="45" s="1"/>
  <c r="AO35" i="45"/>
  <c r="AP35" i="45" s="1"/>
  <c r="AO41" i="45"/>
  <c r="AP41" i="45" s="1"/>
  <c r="AQ25" i="45"/>
  <c r="AR25" i="45" s="1"/>
  <c r="AO25" i="45"/>
  <c r="AP25" i="45" s="1"/>
  <c r="AN53" i="45"/>
  <c r="AH53" i="45"/>
  <c r="AQ23" i="45"/>
  <c r="AR23" i="45" s="1"/>
  <c r="AO23" i="45"/>
  <c r="AP23" i="45" s="1"/>
  <c r="AN30" i="45"/>
  <c r="AH30" i="45"/>
  <c r="AQ27" i="45"/>
  <c r="AR27" i="45" s="1"/>
  <c r="AO27" i="45"/>
  <c r="AP27" i="45" s="1"/>
  <c r="AQ20" i="45"/>
  <c r="AR20" i="45" s="1"/>
  <c r="AO20" i="45"/>
  <c r="AP20" i="45" s="1"/>
  <c r="AQ36" i="45"/>
  <c r="AR36" i="45" s="1"/>
  <c r="AO36" i="45"/>
  <c r="AP36" i="45" s="1"/>
  <c r="AQ54" i="45"/>
  <c r="AR54" i="45" s="1"/>
  <c r="AO54" i="45"/>
  <c r="AP54" i="45" s="1"/>
  <c r="AQ37" i="45"/>
  <c r="AR37" i="45" s="1"/>
  <c r="AO37" i="45"/>
  <c r="AP37" i="45" s="1"/>
  <c r="AK63" i="45"/>
  <c r="E88" i="45" s="1"/>
  <c r="F88" i="45" s="1"/>
  <c r="H89" i="33" s="1"/>
  <c r="AQ57" i="45"/>
  <c r="AR57" i="45" s="1"/>
  <c r="AO57" i="45"/>
  <c r="AP57" i="45" s="1"/>
  <c r="AN24" i="42"/>
  <c r="AH24" i="42"/>
  <c r="AL24" i="42" s="1"/>
  <c r="AH24" i="43"/>
  <c r="AL24" i="43" s="1"/>
  <c r="AN24" i="43"/>
  <c r="AN17" i="42"/>
  <c r="AH17" i="42"/>
  <c r="AL17" i="42" s="1"/>
  <c r="AN42" i="42"/>
  <c r="AH42" i="42"/>
  <c r="AL42" i="42" s="1"/>
  <c r="AH21" i="43"/>
  <c r="AL21" i="43" s="1"/>
  <c r="AM22" i="43"/>
  <c r="AA32" i="43"/>
  <c r="T41" i="43"/>
  <c r="T43" i="43"/>
  <c r="AG15" i="42"/>
  <c r="AN15" i="42" s="1"/>
  <c r="S15" i="42"/>
  <c r="Y16" i="42"/>
  <c r="AG18" i="42"/>
  <c r="X28" i="42"/>
  <c r="W30" i="42"/>
  <c r="AM31" i="42"/>
  <c r="W32" i="42"/>
  <c r="S36" i="42"/>
  <c r="S39" i="42"/>
  <c r="Z40" i="42"/>
  <c r="AA40" i="42" s="1"/>
  <c r="AH43" i="42"/>
  <c r="AL43" i="42" s="1"/>
  <c r="AH45" i="42"/>
  <c r="AL45" i="42" s="1"/>
  <c r="Y46" i="42"/>
  <c r="W49" i="42"/>
  <c r="W51" i="42"/>
  <c r="W52" i="42"/>
  <c r="T15" i="42"/>
  <c r="AN16" i="42"/>
  <c r="W23" i="42"/>
  <c r="AM24" i="42"/>
  <c r="AM27" i="42"/>
  <c r="Y28" i="42"/>
  <c r="S29" i="42"/>
  <c r="AK29" i="42"/>
  <c r="X30" i="42"/>
  <c r="X32" i="42"/>
  <c r="T36" i="42"/>
  <c r="X41" i="42"/>
  <c r="Y45" i="42"/>
  <c r="AA45" i="42" s="1"/>
  <c r="AK45" i="42"/>
  <c r="Z46" i="42"/>
  <c r="V47" i="42"/>
  <c r="AK48" i="42"/>
  <c r="X49" i="42"/>
  <c r="AK51" i="42"/>
  <c r="AK52" i="42"/>
  <c r="S18" i="43"/>
  <c r="AM19" i="43"/>
  <c r="AM20" i="43"/>
  <c r="S23" i="43"/>
  <c r="AK24" i="43"/>
  <c r="AM26" i="43"/>
  <c r="W27" i="43"/>
  <c r="AK30" i="43"/>
  <c r="AM33" i="43"/>
  <c r="Z34" i="43"/>
  <c r="AA34" i="43" s="1"/>
  <c r="W40" i="43"/>
  <c r="V53" i="43"/>
  <c r="V16" i="42"/>
  <c r="AK14" i="42"/>
  <c r="T14" i="42"/>
  <c r="AM16" i="42"/>
  <c r="AH23" i="42"/>
  <c r="AL23" i="42" s="1"/>
  <c r="AK35" i="42"/>
  <c r="AN14" i="42"/>
  <c r="Z28" i="42"/>
  <c r="AM29" i="42"/>
  <c r="AH31" i="42"/>
  <c r="AL31" i="42" s="1"/>
  <c r="Y32" i="42"/>
  <c r="S33" i="42"/>
  <c r="S34" i="42"/>
  <c r="AG35" i="42"/>
  <c r="AN35" i="42" s="1"/>
  <c r="AN38" i="42"/>
  <c r="AM41" i="42"/>
  <c r="Y47" i="42"/>
  <c r="AA47" i="42" s="1"/>
  <c r="AM48" i="42"/>
  <c r="Y49" i="42"/>
  <c r="AA49" i="42" s="1"/>
  <c r="AM51" i="42"/>
  <c r="AM52" i="42"/>
  <c r="S19" i="43"/>
  <c r="S20" i="43"/>
  <c r="S21" i="43"/>
  <c r="AM21" i="43"/>
  <c r="T23" i="43"/>
  <c r="AK25" i="43"/>
  <c r="AG26" i="43"/>
  <c r="AN26" i="43" s="1"/>
  <c r="AM30" i="43"/>
  <c r="X32" i="43"/>
  <c r="W35" i="43"/>
  <c r="AG47" i="43"/>
  <c r="AN47" i="43" s="1"/>
  <c r="AM49" i="43"/>
  <c r="AM50" i="43"/>
  <c r="Z51" i="43"/>
  <c r="AA51" i="43" s="1"/>
  <c r="Y52" i="43"/>
  <c r="W53" i="43"/>
  <c r="S39" i="43"/>
  <c r="AM40" i="43"/>
  <c r="AM41" i="43"/>
  <c r="AM42" i="43"/>
  <c r="AK43" i="43"/>
  <c r="AH44" i="43"/>
  <c r="AL44" i="43" s="1"/>
  <c r="AK46" i="43"/>
  <c r="AM48" i="43"/>
  <c r="Z52" i="43"/>
  <c r="X53" i="43"/>
  <c r="AJ22" i="42"/>
  <c r="T28" i="42"/>
  <c r="S30" i="42"/>
  <c r="AM32" i="42"/>
  <c r="T35" i="42"/>
  <c r="AJ35" i="42"/>
  <c r="AK36" i="42"/>
  <c r="S37" i="42"/>
  <c r="AJ40" i="42"/>
  <c r="AJ44" i="42"/>
  <c r="V46" i="42"/>
  <c r="X48" i="42"/>
  <c r="T51" i="42"/>
  <c r="T52" i="42"/>
  <c r="S53" i="42"/>
  <c r="AI58" i="43"/>
  <c r="AM25" i="43"/>
  <c r="W28" i="43"/>
  <c r="AG31" i="43"/>
  <c r="AN31" i="43" s="1"/>
  <c r="AK32" i="43"/>
  <c r="X33" i="43"/>
  <c r="Y35" i="43"/>
  <c r="AA35" i="43" s="1"/>
  <c r="W36" i="43"/>
  <c r="T39" i="43"/>
  <c r="S40" i="43"/>
  <c r="AG40" i="43"/>
  <c r="AN40" i="43" s="1"/>
  <c r="AK45" i="43"/>
  <c r="AK52" i="43"/>
  <c r="Y53" i="43"/>
  <c r="AA53" i="43" s="1"/>
  <c r="K63" i="43"/>
  <c r="AJ14" i="43"/>
  <c r="AK18" i="43"/>
  <c r="V19" i="43"/>
  <c r="S22" i="43"/>
  <c r="X28" i="43"/>
  <c r="AA31" i="43"/>
  <c r="AM32" i="43"/>
  <c r="Y33" i="43"/>
  <c r="X36" i="43"/>
  <c r="W37" i="43"/>
  <c r="T40" i="43"/>
  <c r="S42" i="43"/>
  <c r="AK44" i="43"/>
  <c r="AA49" i="43"/>
  <c r="W50" i="43"/>
  <c r="AM52" i="43"/>
  <c r="AH27" i="43"/>
  <c r="AL27" i="43" s="1"/>
  <c r="W16" i="42"/>
  <c r="AK22" i="42"/>
  <c r="AG32" i="42"/>
  <c r="AN32" i="42" s="1"/>
  <c r="T37" i="42"/>
  <c r="S38" i="42"/>
  <c r="AM39" i="42"/>
  <c r="W40" i="42"/>
  <c r="AM40" i="42"/>
  <c r="W43" i="42"/>
  <c r="AK44" i="42"/>
  <c r="W46" i="42"/>
  <c r="AG46" i="42"/>
  <c r="AN46" i="42" s="1"/>
  <c r="T53" i="42"/>
  <c r="S14" i="42"/>
  <c r="AM15" i="42"/>
  <c r="X16" i="42"/>
  <c r="Y17" i="42"/>
  <c r="AM17" i="42"/>
  <c r="V19" i="42"/>
  <c r="Z24" i="42"/>
  <c r="AA24" i="42" s="1"/>
  <c r="AK31" i="42"/>
  <c r="AG36" i="42"/>
  <c r="AN36" i="42" s="1"/>
  <c r="T38" i="42"/>
  <c r="AJ39" i="42"/>
  <c r="X40" i="42"/>
  <c r="X42" i="42"/>
  <c r="AM47" i="42"/>
  <c r="Z48" i="42"/>
  <c r="AA48" i="42" s="1"/>
  <c r="AK50" i="42"/>
  <c r="K62" i="42"/>
  <c r="D82" i="42" s="1"/>
  <c r="E82" i="42" s="1"/>
  <c r="G13" i="34" s="1"/>
  <c r="S14" i="43"/>
  <c r="S15" i="43"/>
  <c r="S16" i="43"/>
  <c r="S17" i="43"/>
  <c r="AK21" i="43"/>
  <c r="T22" i="43"/>
  <c r="AK22" i="43"/>
  <c r="S24" i="43"/>
  <c r="AM29" i="43"/>
  <c r="AN32" i="43"/>
  <c r="Z33" i="43"/>
  <c r="S41" i="43"/>
  <c r="T42" i="43"/>
  <c r="S43" i="43"/>
  <c r="AA50" i="43"/>
  <c r="AH45" i="43"/>
  <c r="AL45" i="43" s="1"/>
  <c r="AH29" i="43"/>
  <c r="AL29" i="43" s="1"/>
  <c r="AN29" i="43"/>
  <c r="AH25" i="43"/>
  <c r="AL25" i="43" s="1"/>
  <c r="AN25" i="43"/>
  <c r="AH49" i="43"/>
  <c r="AL49" i="43" s="1"/>
  <c r="AN49" i="43"/>
  <c r="AN46" i="43"/>
  <c r="AH46" i="43"/>
  <c r="AL46" i="43" s="1"/>
  <c r="V14" i="43"/>
  <c r="V37" i="43"/>
  <c r="AG48" i="43"/>
  <c r="AN48" i="43" s="1"/>
  <c r="X14" i="43"/>
  <c r="V15" i="43"/>
  <c r="AH28" i="43"/>
  <c r="AL28" i="43" s="1"/>
  <c r="X37" i="43"/>
  <c r="X38" i="43"/>
  <c r="V39" i="43"/>
  <c r="AH26" i="43"/>
  <c r="AL26" i="43" s="1"/>
  <c r="X39" i="43"/>
  <c r="AK28" i="43"/>
  <c r="AH32" i="43"/>
  <c r="AL32" i="43" s="1"/>
  <c r="Y39" i="43"/>
  <c r="X40" i="43"/>
  <c r="V41" i="43"/>
  <c r="S44" i="43"/>
  <c r="AG50" i="43"/>
  <c r="AN50" i="43" s="1"/>
  <c r="Z15" i="43"/>
  <c r="X16" i="43"/>
  <c r="X17" i="43"/>
  <c r="W18" i="43"/>
  <c r="AM27" i="43"/>
  <c r="AG33" i="43"/>
  <c r="AN33" i="43" s="1"/>
  <c r="AG34" i="43"/>
  <c r="AN34" i="43" s="1"/>
  <c r="Z39" i="43"/>
  <c r="Y40" i="43"/>
  <c r="AA40" i="43" s="1"/>
  <c r="AB40" i="43" s="1"/>
  <c r="W41" i="43"/>
  <c r="W42" i="43"/>
  <c r="T44" i="43"/>
  <c r="AG51" i="43"/>
  <c r="AN51" i="43" s="1"/>
  <c r="AG52" i="43"/>
  <c r="AN52" i="43" s="1"/>
  <c r="AG30" i="43"/>
  <c r="Y17" i="43"/>
  <c r="X18" i="43"/>
  <c r="AK29" i="43"/>
  <c r="AG35" i="43"/>
  <c r="AN35" i="43" s="1"/>
  <c r="AG36" i="43"/>
  <c r="AN36" i="43" s="1"/>
  <c r="X41" i="43"/>
  <c r="X42" i="43"/>
  <c r="W43" i="43"/>
  <c r="S45" i="43"/>
  <c r="AK49" i="43"/>
  <c r="AH51" i="43"/>
  <c r="AL51" i="43" s="1"/>
  <c r="Z16" i="43"/>
  <c r="Z17" i="43"/>
  <c r="Y18" i="43"/>
  <c r="AA18" i="43" s="1"/>
  <c r="AB18" i="43" s="1"/>
  <c r="W19" i="43"/>
  <c r="W20" i="43"/>
  <c r="W21" i="43"/>
  <c r="Y41" i="43"/>
  <c r="AA41" i="43" s="1"/>
  <c r="Y42" i="43"/>
  <c r="AA42" i="43" s="1"/>
  <c r="AB42" i="43" s="1"/>
  <c r="X43" i="43"/>
  <c r="V44" i="43"/>
  <c r="T45" i="43"/>
  <c r="AG53" i="43"/>
  <c r="AN53" i="43" s="1"/>
  <c r="X15" i="43"/>
  <c r="AG14" i="43"/>
  <c r="AN14" i="43" s="1"/>
  <c r="X19" i="43"/>
  <c r="X20" i="43"/>
  <c r="X21" i="43"/>
  <c r="W22" i="43"/>
  <c r="AG37" i="43"/>
  <c r="AN37" i="43" s="1"/>
  <c r="AG38" i="43"/>
  <c r="AN38" i="43" s="1"/>
  <c r="Y43" i="43"/>
  <c r="AA43" i="43" s="1"/>
  <c r="AB43" i="43" s="1"/>
  <c r="W44" i="43"/>
  <c r="Y37" i="43"/>
  <c r="AA37" i="43" s="1"/>
  <c r="Y19" i="43"/>
  <c r="AA19" i="43" s="1"/>
  <c r="Y20" i="43"/>
  <c r="AA20" i="43" s="1"/>
  <c r="AB20" i="43" s="1"/>
  <c r="Y21" i="43"/>
  <c r="AA21" i="43" s="1"/>
  <c r="X22" i="43"/>
  <c r="V23" i="43"/>
  <c r="S25" i="43"/>
  <c r="X44" i="43"/>
  <c r="V45" i="43"/>
  <c r="S46" i="43"/>
  <c r="Y15" i="43"/>
  <c r="AG15" i="43"/>
  <c r="Y22" i="43"/>
  <c r="AA22" i="43" s="1"/>
  <c r="AB22" i="43" s="1"/>
  <c r="W23" i="43"/>
  <c r="W24" i="43"/>
  <c r="T25" i="43"/>
  <c r="AG39" i="43"/>
  <c r="Y44" i="43"/>
  <c r="AA44" i="43" s="1"/>
  <c r="W45" i="43"/>
  <c r="T46" i="43"/>
  <c r="Y14" i="43"/>
  <c r="X23" i="43"/>
  <c r="X24" i="43"/>
  <c r="S26" i="43"/>
  <c r="S27" i="43"/>
  <c r="X45" i="43"/>
  <c r="S47" i="43"/>
  <c r="AG16" i="43"/>
  <c r="AN16" i="43" s="1"/>
  <c r="AG17" i="43"/>
  <c r="AN17" i="43" s="1"/>
  <c r="Y23" i="43"/>
  <c r="AA23" i="43" s="1"/>
  <c r="Y24" i="43"/>
  <c r="AA24" i="43" s="1"/>
  <c r="AB24" i="43" s="1"/>
  <c r="V25" i="43"/>
  <c r="T26" i="43"/>
  <c r="T27" i="43"/>
  <c r="S28" i="43"/>
  <c r="AH40" i="43"/>
  <c r="AL40" i="43" s="1"/>
  <c r="Y45" i="43"/>
  <c r="AA45" i="43" s="1"/>
  <c r="V46" i="43"/>
  <c r="T47" i="43"/>
  <c r="S48" i="43"/>
  <c r="Y16" i="43"/>
  <c r="AH16" i="43"/>
  <c r="AL16" i="43" s="1"/>
  <c r="AH17" i="43"/>
  <c r="AL17" i="43" s="1"/>
  <c r="AG18" i="43"/>
  <c r="AN18" i="43" s="1"/>
  <c r="W25" i="43"/>
  <c r="T28" i="43"/>
  <c r="AG41" i="43"/>
  <c r="AN41" i="43" s="1"/>
  <c r="AG42" i="43"/>
  <c r="AN42" i="43" s="1"/>
  <c r="W46" i="43"/>
  <c r="T48" i="43"/>
  <c r="X25" i="43"/>
  <c r="V26" i="43"/>
  <c r="S29" i="43"/>
  <c r="S30" i="43"/>
  <c r="AH41" i="43"/>
  <c r="AL41" i="43" s="1"/>
  <c r="AG43" i="43"/>
  <c r="AN43" i="43" s="1"/>
  <c r="X46" i="43"/>
  <c r="V47" i="43"/>
  <c r="S49" i="43"/>
  <c r="V16" i="43"/>
  <c r="AG19" i="43"/>
  <c r="AN19" i="43" s="1"/>
  <c r="AG20" i="43"/>
  <c r="AN20" i="43" s="1"/>
  <c r="Y25" i="43"/>
  <c r="AA25" i="43" s="1"/>
  <c r="T29" i="43"/>
  <c r="T30" i="43"/>
  <c r="S31" i="43"/>
  <c r="AB31" i="43" s="1"/>
  <c r="S32" i="43"/>
  <c r="Y46" i="43"/>
  <c r="AA46" i="43" s="1"/>
  <c r="W47" i="43"/>
  <c r="T49" i="43"/>
  <c r="Z38" i="43"/>
  <c r="AA38" i="43" s="1"/>
  <c r="AB38" i="43" s="1"/>
  <c r="X26" i="43"/>
  <c r="X27" i="43"/>
  <c r="T31" i="43"/>
  <c r="T32" i="43"/>
  <c r="X47" i="43"/>
  <c r="W48" i="43"/>
  <c r="S50" i="43"/>
  <c r="Y26" i="43"/>
  <c r="AA26" i="43" s="1"/>
  <c r="Y27" i="43"/>
  <c r="AA27" i="43" s="1"/>
  <c r="S33" i="43"/>
  <c r="S34" i="43"/>
  <c r="Y47" i="43"/>
  <c r="AA47" i="43" s="1"/>
  <c r="X48" i="43"/>
  <c r="T50" i="43"/>
  <c r="S51" i="43"/>
  <c r="S52" i="43"/>
  <c r="Z14" i="43"/>
  <c r="AJ19" i="43"/>
  <c r="AJ20" i="43"/>
  <c r="AJ21" i="43"/>
  <c r="T33" i="43"/>
  <c r="T34" i="43"/>
  <c r="S35" i="43"/>
  <c r="S36" i="43"/>
  <c r="Y48" i="43"/>
  <c r="AA48" i="43" s="1"/>
  <c r="W49" i="43"/>
  <c r="T51" i="43"/>
  <c r="T52" i="43"/>
  <c r="W31" i="43"/>
  <c r="W32" i="43"/>
  <c r="T35" i="43"/>
  <c r="T36" i="43"/>
  <c r="X49" i="43"/>
  <c r="V50" i="43"/>
  <c r="S53" i="43"/>
  <c r="S37" i="43"/>
  <c r="T53" i="43"/>
  <c r="T37" i="43"/>
  <c r="E81" i="42"/>
  <c r="E75" i="42"/>
  <c r="E76" i="42" s="1"/>
  <c r="AH20" i="42"/>
  <c r="AL20" i="42" s="1"/>
  <c r="AA16" i="42"/>
  <c r="AH37" i="42"/>
  <c r="AL37" i="42" s="1"/>
  <c r="AH14" i="42"/>
  <c r="AH21" i="42"/>
  <c r="AL21" i="42" s="1"/>
  <c r="AA50" i="42"/>
  <c r="AN44" i="42"/>
  <c r="AH44" i="42"/>
  <c r="AL44" i="42" s="1"/>
  <c r="AN40" i="42"/>
  <c r="AH40" i="42"/>
  <c r="AL40" i="42" s="1"/>
  <c r="AH38" i="42"/>
  <c r="AL38" i="42" s="1"/>
  <c r="K63" i="42"/>
  <c r="AA32" i="42"/>
  <c r="AN22" i="42"/>
  <c r="AH22" i="42"/>
  <c r="AL22" i="42" s="1"/>
  <c r="AA17" i="42"/>
  <c r="AN49" i="42"/>
  <c r="AH49" i="42"/>
  <c r="AL49" i="42" s="1"/>
  <c r="AH19" i="42"/>
  <c r="AL19" i="42" s="1"/>
  <c r="AA31" i="42"/>
  <c r="T26" i="42"/>
  <c r="T27" i="42"/>
  <c r="S28" i="42"/>
  <c r="T47" i="42"/>
  <c r="S48" i="42"/>
  <c r="T48" i="42"/>
  <c r="S49" i="42"/>
  <c r="AI58" i="42"/>
  <c r="V26" i="42"/>
  <c r="AJ17" i="42"/>
  <c r="W26" i="42"/>
  <c r="W27" i="42"/>
  <c r="T29" i="42"/>
  <c r="T30" i="42"/>
  <c r="S31" i="42"/>
  <c r="S32" i="42"/>
  <c r="W47" i="42"/>
  <c r="T49" i="42"/>
  <c r="AJ16" i="42"/>
  <c r="T31" i="42"/>
  <c r="T32" i="42"/>
  <c r="S50" i="42"/>
  <c r="T50" i="42"/>
  <c r="S51" i="42"/>
  <c r="S52" i="42"/>
  <c r="AG25" i="42"/>
  <c r="AN25" i="42" s="1"/>
  <c r="W34" i="42"/>
  <c r="AG47" i="42"/>
  <c r="AN47" i="42" s="1"/>
  <c r="Y51" i="42"/>
  <c r="Y52" i="42"/>
  <c r="W53" i="42"/>
  <c r="W33" i="42"/>
  <c r="X33" i="42"/>
  <c r="S16" i="42"/>
  <c r="AH26" i="42"/>
  <c r="AL26" i="42" s="1"/>
  <c r="AH27" i="42"/>
  <c r="AL27" i="42" s="1"/>
  <c r="AG28" i="42"/>
  <c r="AN28" i="42" s="1"/>
  <c r="Z33" i="42"/>
  <c r="AA33" i="42" s="1"/>
  <c r="Z34" i="42"/>
  <c r="AA34" i="42" s="1"/>
  <c r="AB34" i="42" s="1"/>
  <c r="Y35" i="42"/>
  <c r="Y36" i="42"/>
  <c r="W37" i="42"/>
  <c r="W38" i="42"/>
  <c r="T40" i="42"/>
  <c r="AH47" i="42"/>
  <c r="AL47" i="42" s="1"/>
  <c r="AG48" i="42"/>
  <c r="AN48" i="42" s="1"/>
  <c r="Z51" i="42"/>
  <c r="Z52" i="42"/>
  <c r="X53" i="42"/>
  <c r="S17" i="42"/>
  <c r="V15" i="42"/>
  <c r="T17" i="42"/>
  <c r="S18" i="42"/>
  <c r="Z35" i="42"/>
  <c r="Z36" i="42"/>
  <c r="X37" i="42"/>
  <c r="X38" i="42"/>
  <c r="V39" i="42"/>
  <c r="S41" i="42"/>
  <c r="S42" i="42"/>
  <c r="Y53" i="42"/>
  <c r="W36" i="42"/>
  <c r="X14" i="42"/>
  <c r="T16" i="42"/>
  <c r="Y14" i="42"/>
  <c r="W15" i="42"/>
  <c r="T18" i="42"/>
  <c r="AG29" i="42"/>
  <c r="AG30" i="42"/>
  <c r="Y37" i="42"/>
  <c r="Y38" i="42"/>
  <c r="AA38" i="42" s="1"/>
  <c r="AB38" i="42" s="1"/>
  <c r="W39" i="42"/>
  <c r="T41" i="42"/>
  <c r="T42" i="42"/>
  <c r="S43" i="42"/>
  <c r="Z53" i="42"/>
  <c r="Z14" i="42"/>
  <c r="X15" i="42"/>
  <c r="S19" i="42"/>
  <c r="S20" i="42"/>
  <c r="S21" i="42"/>
  <c r="AM25" i="42"/>
  <c r="AK26" i="42"/>
  <c r="AK27" i="42"/>
  <c r="Z37" i="42"/>
  <c r="X39" i="42"/>
  <c r="T43" i="42"/>
  <c r="AM46" i="42"/>
  <c r="AJ45" i="42"/>
  <c r="X34" i="42"/>
  <c r="T21" i="42"/>
  <c r="Y39" i="42"/>
  <c r="AA39" i="42" s="1"/>
  <c r="S44" i="42"/>
  <c r="AK23" i="42"/>
  <c r="AK58" i="42" s="1"/>
  <c r="V14" i="42"/>
  <c r="T19" i="42"/>
  <c r="T20" i="42"/>
  <c r="S22" i="42"/>
  <c r="Z15" i="42"/>
  <c r="AA15" i="42" s="1"/>
  <c r="W18" i="42"/>
  <c r="T22" i="42"/>
  <c r="AG33" i="42"/>
  <c r="AG34" i="42"/>
  <c r="W41" i="42"/>
  <c r="W42" i="42"/>
  <c r="T44" i="42"/>
  <c r="AH50" i="42"/>
  <c r="AL50" i="42" s="1"/>
  <c r="AG51" i="42"/>
  <c r="AG52" i="42"/>
  <c r="X35" i="42"/>
  <c r="S24" i="42"/>
  <c r="S45" i="42"/>
  <c r="Y18" i="42"/>
  <c r="AA18" i="42" s="1"/>
  <c r="W20" i="42"/>
  <c r="T23" i="42"/>
  <c r="T24" i="42"/>
  <c r="Y41" i="42"/>
  <c r="AA41" i="42" s="1"/>
  <c r="Y42" i="42"/>
  <c r="AA42" i="42" s="1"/>
  <c r="X43" i="42"/>
  <c r="V44" i="42"/>
  <c r="T45" i="42"/>
  <c r="AG53" i="42"/>
  <c r="AN53" i="42" s="1"/>
  <c r="S40" i="42"/>
  <c r="W19" i="42"/>
  <c r="W21" i="42"/>
  <c r="X19" i="42"/>
  <c r="X20" i="42"/>
  <c r="X21" i="42"/>
  <c r="W22" i="42"/>
  <c r="Y43" i="42"/>
  <c r="AA43" i="42" s="1"/>
  <c r="W44" i="42"/>
  <c r="AJ24" i="42"/>
  <c r="S23" i="42"/>
  <c r="Y19" i="42"/>
  <c r="AA19" i="42" s="1"/>
  <c r="Y20" i="42"/>
  <c r="AA20" i="42" s="1"/>
  <c r="Y21" i="42"/>
  <c r="AA21" i="42" s="1"/>
  <c r="X22" i="42"/>
  <c r="S25" i="42"/>
  <c r="X44" i="42"/>
  <c r="S46" i="42"/>
  <c r="Y22" i="42"/>
  <c r="AA22" i="42" s="1"/>
  <c r="T25" i="42"/>
  <c r="Y44" i="42"/>
  <c r="AA44" i="42" s="1"/>
  <c r="W45" i="42"/>
  <c r="T46" i="42"/>
  <c r="S26" i="42"/>
  <c r="S27" i="42"/>
  <c r="AQ63" i="47" l="1"/>
  <c r="AR14" i="47"/>
  <c r="AR63" i="47" s="1"/>
  <c r="AO63" i="47"/>
  <c r="AP14" i="47"/>
  <c r="AP63" i="47" s="1"/>
  <c r="AQ63" i="46"/>
  <c r="AR14" i="46"/>
  <c r="AR63" i="46" s="1"/>
  <c r="AO63" i="46"/>
  <c r="AP14" i="46"/>
  <c r="AP63" i="46" s="1"/>
  <c r="W58" i="42"/>
  <c r="AB21" i="43"/>
  <c r="AH32" i="42"/>
  <c r="AL32" i="42" s="1"/>
  <c r="AA52" i="43"/>
  <c r="AL21" i="45"/>
  <c r="AQ21" i="45" s="1"/>
  <c r="AR21" i="45" s="1"/>
  <c r="AO21" i="45"/>
  <c r="AP21" i="45" s="1"/>
  <c r="AB52" i="43"/>
  <c r="AM58" i="42"/>
  <c r="AH31" i="43"/>
  <c r="AL31" i="43" s="1"/>
  <c r="AO48" i="44"/>
  <c r="AP48" i="44" s="1"/>
  <c r="AA28" i="42"/>
  <c r="AL52" i="45"/>
  <c r="AQ52" i="45" s="1"/>
  <c r="AR52" i="45" s="1"/>
  <c r="AO52" i="45"/>
  <c r="AP52" i="45" s="1"/>
  <c r="AB28" i="42"/>
  <c r="AN63" i="44"/>
  <c r="T58" i="42"/>
  <c r="AA46" i="42"/>
  <c r="AO52" i="44"/>
  <c r="AP52" i="44" s="1"/>
  <c r="AM58" i="43"/>
  <c r="AB27" i="42"/>
  <c r="S58" i="42"/>
  <c r="AB30" i="42"/>
  <c r="AJ58" i="43"/>
  <c r="AH47" i="43"/>
  <c r="AL47" i="43" s="1"/>
  <c r="AO44" i="44"/>
  <c r="AP44" i="44" s="1"/>
  <c r="AA63" i="44"/>
  <c r="AB14" i="44"/>
  <c r="AL30" i="44"/>
  <c r="AQ30" i="44" s="1"/>
  <c r="AR30" i="44" s="1"/>
  <c r="AO30" i="44"/>
  <c r="AP30" i="44" s="1"/>
  <c r="AL28" i="44"/>
  <c r="AQ28" i="44" s="1"/>
  <c r="AR28" i="44" s="1"/>
  <c r="AO28" i="44"/>
  <c r="AP28" i="44" s="1"/>
  <c r="AL31" i="44"/>
  <c r="AQ31" i="44" s="1"/>
  <c r="AR31" i="44" s="1"/>
  <c r="AO31" i="44"/>
  <c r="AP31" i="44" s="1"/>
  <c r="AO42" i="44"/>
  <c r="AP42" i="44" s="1"/>
  <c r="AL55" i="44"/>
  <c r="AQ55" i="44" s="1"/>
  <c r="AR55" i="44" s="1"/>
  <c r="AO55" i="44"/>
  <c r="AP55" i="44" s="1"/>
  <c r="AL21" i="44"/>
  <c r="AO21" i="44"/>
  <c r="AP21" i="44" s="1"/>
  <c r="AO27" i="44"/>
  <c r="AP27" i="44" s="1"/>
  <c r="AL24" i="45"/>
  <c r="AQ24" i="45" s="1"/>
  <c r="AR24" i="45" s="1"/>
  <c r="AO24" i="45"/>
  <c r="AP24" i="45" s="1"/>
  <c r="AH63" i="45"/>
  <c r="AH66" i="45" s="1"/>
  <c r="AH67" i="45" s="1"/>
  <c r="AL56" i="45"/>
  <c r="AQ56" i="45" s="1"/>
  <c r="AR56" i="45" s="1"/>
  <c r="AO56" i="45"/>
  <c r="AP56" i="45" s="1"/>
  <c r="AN63" i="45"/>
  <c r="E86" i="45" s="1"/>
  <c r="F86" i="45" s="1"/>
  <c r="AL53" i="45"/>
  <c r="AQ53" i="45" s="1"/>
  <c r="AR53" i="45" s="1"/>
  <c r="AO53" i="45"/>
  <c r="AP53" i="45" s="1"/>
  <c r="AL44" i="45"/>
  <c r="AQ44" i="45" s="1"/>
  <c r="AR44" i="45" s="1"/>
  <c r="AO44" i="45"/>
  <c r="AP44" i="45" s="1"/>
  <c r="AA63" i="45"/>
  <c r="AB14" i="45"/>
  <c r="AO15" i="45"/>
  <c r="AP15" i="45" s="1"/>
  <c r="AO55" i="45"/>
  <c r="AP55" i="45" s="1"/>
  <c r="AL18" i="45"/>
  <c r="AQ18" i="45" s="1"/>
  <c r="AR18" i="45" s="1"/>
  <c r="AO18" i="45"/>
  <c r="AP18" i="45" s="1"/>
  <c r="AL30" i="45"/>
  <c r="AQ30" i="45" s="1"/>
  <c r="AR30" i="45" s="1"/>
  <c r="AO30" i="45"/>
  <c r="AP30" i="45" s="1"/>
  <c r="AB42" i="42"/>
  <c r="AQ42" i="42" s="1"/>
  <c r="AR42" i="42" s="1"/>
  <c r="AH53" i="42"/>
  <c r="AL53" i="42" s="1"/>
  <c r="AB51" i="43"/>
  <c r="AK58" i="43"/>
  <c r="W58" i="43"/>
  <c r="E84" i="43" s="1"/>
  <c r="F84" i="43" s="1"/>
  <c r="G88" i="33" s="1"/>
  <c r="AA52" i="42"/>
  <c r="AB52" i="42" s="1"/>
  <c r="T58" i="43"/>
  <c r="AH35" i="42"/>
  <c r="AL35" i="42" s="1"/>
  <c r="AH15" i="42"/>
  <c r="AL15" i="42" s="1"/>
  <c r="D83" i="42"/>
  <c r="E83" i="42" s="1"/>
  <c r="G90" i="34" s="1"/>
  <c r="AH42" i="43"/>
  <c r="AL42" i="43" s="1"/>
  <c r="AQ42" i="43" s="1"/>
  <c r="AR42" i="43" s="1"/>
  <c r="AB28" i="43"/>
  <c r="AO28" i="43" s="1"/>
  <c r="AP28" i="43" s="1"/>
  <c r="S58" i="43"/>
  <c r="E82" i="43" s="1"/>
  <c r="F82" i="43" s="1"/>
  <c r="AH53" i="43"/>
  <c r="AL53" i="43" s="1"/>
  <c r="AH46" i="42"/>
  <c r="AL46" i="42" s="1"/>
  <c r="AB34" i="43"/>
  <c r="AA33" i="43"/>
  <c r="AA36" i="42"/>
  <c r="AB36" i="42" s="1"/>
  <c r="AQ36" i="42" s="1"/>
  <c r="AR36" i="42" s="1"/>
  <c r="AA53" i="42"/>
  <c r="AA35" i="42"/>
  <c r="AB35" i="42" s="1"/>
  <c r="AQ35" i="42" s="1"/>
  <c r="AR35" i="42" s="1"/>
  <c r="AJ58" i="42"/>
  <c r="AB48" i="42"/>
  <c r="AB32" i="43"/>
  <c r="AB48" i="43"/>
  <c r="AH52" i="43"/>
  <c r="AL52" i="43" s="1"/>
  <c r="X58" i="43"/>
  <c r="AH43" i="43"/>
  <c r="AL43" i="43" s="1"/>
  <c r="AQ43" i="43" s="1"/>
  <c r="AR43" i="43" s="1"/>
  <c r="AH20" i="43"/>
  <c r="AL20" i="43" s="1"/>
  <c r="AH36" i="42"/>
  <c r="AL36" i="42" s="1"/>
  <c r="AH18" i="42"/>
  <c r="AL18" i="42" s="1"/>
  <c r="AN18" i="42"/>
  <c r="AQ21" i="43"/>
  <c r="AR21" i="43" s="1"/>
  <c r="AO21" i="43"/>
  <c r="AP21" i="43" s="1"/>
  <c r="AQ40" i="43"/>
  <c r="AR40" i="43" s="1"/>
  <c r="AO40" i="43"/>
  <c r="AP40" i="43" s="1"/>
  <c r="AO22" i="43"/>
  <c r="AP22" i="43" s="1"/>
  <c r="AQ22" i="43"/>
  <c r="AR22" i="43" s="1"/>
  <c r="AQ51" i="43"/>
  <c r="AR51" i="43" s="1"/>
  <c r="AO51" i="43"/>
  <c r="AP51" i="43" s="1"/>
  <c r="AO24" i="43"/>
  <c r="AP24" i="43" s="1"/>
  <c r="AQ24" i="43"/>
  <c r="AR24" i="43" s="1"/>
  <c r="Z58" i="43"/>
  <c r="AH18" i="43"/>
  <c r="AL18" i="43" s="1"/>
  <c r="AQ18" i="43" s="1"/>
  <c r="AR18" i="43" s="1"/>
  <c r="V58" i="43"/>
  <c r="AN15" i="43"/>
  <c r="AH15" i="43"/>
  <c r="AL15" i="43" s="1"/>
  <c r="AH34" i="43"/>
  <c r="AL34" i="43" s="1"/>
  <c r="AQ34" i="43" s="1"/>
  <c r="AR34" i="43" s="1"/>
  <c r="AQ20" i="43"/>
  <c r="AR20" i="43" s="1"/>
  <c r="AO20" i="43"/>
  <c r="AP20" i="43" s="1"/>
  <c r="AH33" i="43"/>
  <c r="AL33" i="43" s="1"/>
  <c r="AA39" i="43"/>
  <c r="AQ32" i="43"/>
  <c r="AR32" i="43" s="1"/>
  <c r="AO32" i="43"/>
  <c r="AP32" i="43" s="1"/>
  <c r="AA15" i="43"/>
  <c r="AH38" i="43"/>
  <c r="AL38" i="43" s="1"/>
  <c r="AQ38" i="43" s="1"/>
  <c r="AR38" i="43" s="1"/>
  <c r="AQ28" i="43"/>
  <c r="AR28" i="43" s="1"/>
  <c r="AB30" i="43"/>
  <c r="AH37" i="43"/>
  <c r="AL37" i="43" s="1"/>
  <c r="AA17" i="43"/>
  <c r="AB17" i="43" s="1"/>
  <c r="AH30" i="43"/>
  <c r="AL30" i="43" s="1"/>
  <c r="AN30" i="43"/>
  <c r="AN58" i="43" s="1"/>
  <c r="AH19" i="43"/>
  <c r="AL19" i="43" s="1"/>
  <c r="AH36" i="43"/>
  <c r="AL36" i="43" s="1"/>
  <c r="AH48" i="43"/>
  <c r="AL48" i="43" s="1"/>
  <c r="AA16" i="43"/>
  <c r="AH35" i="43"/>
  <c r="AL35" i="43" s="1"/>
  <c r="AH50" i="43"/>
  <c r="AL50" i="43" s="1"/>
  <c r="AB27" i="43"/>
  <c r="AA14" i="43"/>
  <c r="Y58" i="43"/>
  <c r="AB36" i="43"/>
  <c r="AN39" i="43"/>
  <c r="AH39" i="43"/>
  <c r="AL39" i="43" s="1"/>
  <c r="AB35" i="43"/>
  <c r="AQ31" i="43"/>
  <c r="AR31" i="43" s="1"/>
  <c r="AO31" i="43"/>
  <c r="AP31" i="43" s="1"/>
  <c r="AH14" i="43"/>
  <c r="AO36" i="42"/>
  <c r="AP36" i="42" s="1"/>
  <c r="AN30" i="42"/>
  <c r="AH30" i="42"/>
  <c r="AL30" i="42" s="1"/>
  <c r="AQ30" i="42" s="1"/>
  <c r="AR30" i="42" s="1"/>
  <c r="AQ38" i="42"/>
  <c r="AR38" i="42" s="1"/>
  <c r="AO38" i="42"/>
  <c r="AP38" i="42" s="1"/>
  <c r="AL14" i="42"/>
  <c r="X58" i="42"/>
  <c r="AH51" i="42"/>
  <c r="AL51" i="42" s="1"/>
  <c r="AN51" i="42"/>
  <c r="AB21" i="42"/>
  <c r="AH52" i="42"/>
  <c r="AL52" i="42" s="1"/>
  <c r="AN52" i="42"/>
  <c r="AB20" i="42"/>
  <c r="AB40" i="42"/>
  <c r="AH28" i="42"/>
  <c r="AL28" i="42" s="1"/>
  <c r="Y58" i="42"/>
  <c r="AA14" i="42"/>
  <c r="AH48" i="42"/>
  <c r="AL48" i="42" s="1"/>
  <c r="AQ48" i="42" s="1"/>
  <c r="AR48" i="42" s="1"/>
  <c r="AH34" i="42"/>
  <c r="AL34" i="42" s="1"/>
  <c r="AQ34" i="42" s="1"/>
  <c r="AR34" i="42" s="1"/>
  <c r="AN34" i="42"/>
  <c r="AA51" i="42"/>
  <c r="AB51" i="42" s="1"/>
  <c r="AB32" i="42"/>
  <c r="AH33" i="42"/>
  <c r="AL33" i="42" s="1"/>
  <c r="AN33" i="42"/>
  <c r="AH25" i="42"/>
  <c r="AL25" i="42" s="1"/>
  <c r="AB24" i="42"/>
  <c r="AQ27" i="42"/>
  <c r="AR27" i="42" s="1"/>
  <c r="AO27" i="42"/>
  <c r="AP27" i="42" s="1"/>
  <c r="AB22" i="42"/>
  <c r="AO42" i="42"/>
  <c r="AP42" i="42" s="1"/>
  <c r="Z58" i="42"/>
  <c r="AB18" i="42"/>
  <c r="V58" i="42"/>
  <c r="AB17" i="42"/>
  <c r="AN29" i="42"/>
  <c r="AH29" i="42"/>
  <c r="AL29" i="42" s="1"/>
  <c r="AB31" i="42"/>
  <c r="AB43" i="42"/>
  <c r="AA37" i="42"/>
  <c r="AQ28" i="42" l="1"/>
  <c r="AR28" i="42" s="1"/>
  <c r="E85" i="43"/>
  <c r="F85" i="43" s="1"/>
  <c r="G89" i="33" s="1"/>
  <c r="AO43" i="43"/>
  <c r="AP43" i="43" s="1"/>
  <c r="AQ52" i="43"/>
  <c r="AR52" i="43" s="1"/>
  <c r="AO35" i="42"/>
  <c r="AP35" i="42" s="1"/>
  <c r="AN58" i="42"/>
  <c r="AQ48" i="43"/>
  <c r="AR48" i="43" s="1"/>
  <c r="AA58" i="43"/>
  <c r="R64" i="43" s="1"/>
  <c r="R65" i="43" s="1"/>
  <c r="AQ21" i="44"/>
  <c r="AR21" i="44" s="1"/>
  <c r="AL66" i="44"/>
  <c r="AL67" i="44" s="1"/>
  <c r="AL63" i="44"/>
  <c r="AB63" i="44"/>
  <c r="AQ14" i="44"/>
  <c r="AO14" i="44"/>
  <c r="R66" i="44"/>
  <c r="R67" i="44" s="1"/>
  <c r="R69" i="44"/>
  <c r="R70" i="44" s="1"/>
  <c r="R66" i="45"/>
  <c r="R67" i="45" s="1"/>
  <c r="R69" i="45"/>
  <c r="R70" i="45" s="1"/>
  <c r="AL66" i="45"/>
  <c r="AL67" i="45" s="1"/>
  <c r="AB63" i="45"/>
  <c r="AQ14" i="45"/>
  <c r="AO14" i="45"/>
  <c r="AL63" i="45"/>
  <c r="AO38" i="43"/>
  <c r="AP38" i="43" s="1"/>
  <c r="E83" i="43"/>
  <c r="F83" i="43" s="1"/>
  <c r="AO52" i="43"/>
  <c r="AP52" i="43" s="1"/>
  <c r="AO48" i="42"/>
  <c r="AP48" i="42" s="1"/>
  <c r="AO42" i="43"/>
  <c r="AP42" i="43" s="1"/>
  <c r="AQ35" i="43"/>
  <c r="AR35" i="43" s="1"/>
  <c r="AO35" i="43"/>
  <c r="AP35" i="43" s="1"/>
  <c r="AH58" i="43"/>
  <c r="AH61" i="43" s="1"/>
  <c r="AH62" i="43" s="1"/>
  <c r="AL14" i="43"/>
  <c r="AQ27" i="43"/>
  <c r="AR27" i="43" s="1"/>
  <c r="AO27" i="43"/>
  <c r="AP27" i="43" s="1"/>
  <c r="AO18" i="43"/>
  <c r="AP18" i="43" s="1"/>
  <c r="AO34" i="43"/>
  <c r="AP34" i="43" s="1"/>
  <c r="AO48" i="43"/>
  <c r="AP48" i="43" s="1"/>
  <c r="AQ30" i="43"/>
  <c r="AR30" i="43" s="1"/>
  <c r="AO30" i="43"/>
  <c r="AP30" i="43" s="1"/>
  <c r="AO17" i="43"/>
  <c r="AP17" i="43" s="1"/>
  <c r="AQ17" i="43"/>
  <c r="AR17" i="43" s="1"/>
  <c r="AQ36" i="43"/>
  <c r="AR36" i="43" s="1"/>
  <c r="AO36" i="43"/>
  <c r="AP36" i="43" s="1"/>
  <c r="AQ22" i="42"/>
  <c r="AR22" i="42" s="1"/>
  <c r="AO22" i="42"/>
  <c r="AP22" i="42" s="1"/>
  <c r="AO32" i="42"/>
  <c r="AP32" i="42" s="1"/>
  <c r="AQ32" i="42"/>
  <c r="AR32" i="42" s="1"/>
  <c r="AL61" i="42"/>
  <c r="AL62" i="42" s="1"/>
  <c r="AL58" i="42"/>
  <c r="AO21" i="42"/>
  <c r="AP21" i="42" s="1"/>
  <c r="AQ21" i="42"/>
  <c r="AR21" i="42" s="1"/>
  <c r="AO43" i="42"/>
  <c r="AP43" i="42" s="1"/>
  <c r="AQ43" i="42"/>
  <c r="AR43" i="42" s="1"/>
  <c r="AQ24" i="42"/>
  <c r="AR24" i="42" s="1"/>
  <c r="AO24" i="42"/>
  <c r="AP24" i="42" s="1"/>
  <c r="AQ51" i="42"/>
  <c r="AR51" i="42" s="1"/>
  <c r="AO51" i="42"/>
  <c r="AP51" i="42" s="1"/>
  <c r="AH58" i="42"/>
  <c r="AH61" i="42" s="1"/>
  <c r="AH62" i="42" s="1"/>
  <c r="AQ52" i="42"/>
  <c r="AR52" i="42" s="1"/>
  <c r="AO52" i="42"/>
  <c r="AP52" i="42" s="1"/>
  <c r="AA58" i="42"/>
  <c r="AO18" i="42"/>
  <c r="AP18" i="42" s="1"/>
  <c r="AQ18" i="42"/>
  <c r="AR18" i="42" s="1"/>
  <c r="AQ40" i="42"/>
  <c r="AR40" i="42" s="1"/>
  <c r="AO40" i="42"/>
  <c r="AP40" i="42" s="1"/>
  <c r="AO34" i="42"/>
  <c r="AP34" i="42" s="1"/>
  <c r="AO31" i="42"/>
  <c r="AP31" i="42" s="1"/>
  <c r="AQ31" i="42"/>
  <c r="AR31" i="42" s="1"/>
  <c r="AO20" i="42"/>
  <c r="AP20" i="42" s="1"/>
  <c r="AQ20" i="42"/>
  <c r="AR20" i="42" s="1"/>
  <c r="AO28" i="42"/>
  <c r="AP28" i="42" s="1"/>
  <c r="AQ17" i="42"/>
  <c r="AR17" i="42" s="1"/>
  <c r="AO17" i="42"/>
  <c r="AP17" i="42" s="1"/>
  <c r="AO30" i="42"/>
  <c r="AP30" i="42" s="1"/>
  <c r="AQ63" i="44" l="1"/>
  <c r="AR14" i="44"/>
  <c r="AR63" i="44" s="1"/>
  <c r="AO63" i="44"/>
  <c r="AP14" i="44"/>
  <c r="AP63" i="44" s="1"/>
  <c r="AO63" i="45"/>
  <c r="AP14" i="45"/>
  <c r="AP63" i="45" s="1"/>
  <c r="AQ63" i="45"/>
  <c r="AR14" i="45"/>
  <c r="AR63" i="45" s="1"/>
  <c r="AL58" i="43"/>
  <c r="AL61" i="43"/>
  <c r="AL62" i="43" s="1"/>
  <c r="R64" i="42"/>
  <c r="R65" i="42" s="1"/>
  <c r="R45" i="42" l="1"/>
  <c r="R45" i="43"/>
  <c r="R44" i="42"/>
  <c r="R44" i="43"/>
  <c r="Q45" i="43" l="1"/>
  <c r="AB45" i="43" s="1"/>
  <c r="Q45" i="42"/>
  <c r="AB45" i="42" s="1"/>
  <c r="Q44" i="42"/>
  <c r="AB44" i="42" s="1"/>
  <c r="Q44" i="43"/>
  <c r="AB44" i="43" s="1"/>
  <c r="AQ45" i="42" l="1"/>
  <c r="AR45" i="42" s="1"/>
  <c r="AO45" i="42"/>
  <c r="AP45" i="42" s="1"/>
  <c r="AO45" i="43"/>
  <c r="AP45" i="43" s="1"/>
  <c r="AQ45" i="43"/>
  <c r="AR45" i="43" s="1"/>
  <c r="AQ44" i="43"/>
  <c r="AR44" i="43" s="1"/>
  <c r="AO44" i="43"/>
  <c r="AP44" i="43" s="1"/>
  <c r="AQ44" i="42"/>
  <c r="AR44" i="42" s="1"/>
  <c r="AO44" i="42"/>
  <c r="AP44" i="42" s="1"/>
  <c r="R53" i="43" l="1"/>
  <c r="R53" i="42"/>
  <c r="R50" i="42"/>
  <c r="R47" i="43"/>
  <c r="R50" i="43"/>
  <c r="R47" i="42"/>
  <c r="R37" i="42"/>
  <c r="R37" i="43"/>
  <c r="R29" i="43"/>
  <c r="R29" i="42"/>
  <c r="R26" i="43"/>
  <c r="R26" i="42"/>
  <c r="R25" i="42"/>
  <c r="R25" i="43"/>
  <c r="R15" i="42"/>
  <c r="R15" i="43"/>
  <c r="Q53" i="43" l="1"/>
  <c r="AB53" i="43" s="1"/>
  <c r="Q53" i="42"/>
  <c r="AB53" i="42" s="1"/>
  <c r="Q50" i="42"/>
  <c r="AB50" i="42" s="1"/>
  <c r="Q47" i="43"/>
  <c r="AB47" i="43" s="1"/>
  <c r="Q50" i="43"/>
  <c r="AB50" i="43" s="1"/>
  <c r="Q47" i="42"/>
  <c r="AB47" i="42" s="1"/>
  <c r="R49" i="43"/>
  <c r="R49" i="42"/>
  <c r="Q49" i="42"/>
  <c r="AB49" i="42" s="1"/>
  <c r="Q49" i="43"/>
  <c r="Q46" i="42"/>
  <c r="Q46" i="43"/>
  <c r="R46" i="42"/>
  <c r="R46" i="43"/>
  <c r="Q41" i="43"/>
  <c r="Q41" i="42"/>
  <c r="R41" i="43"/>
  <c r="R41" i="42"/>
  <c r="Q39" i="43"/>
  <c r="Q39" i="42"/>
  <c r="R39" i="42"/>
  <c r="R39" i="43"/>
  <c r="Q37" i="42"/>
  <c r="AB37" i="42" s="1"/>
  <c r="Q37" i="43"/>
  <c r="AB37" i="43" s="1"/>
  <c r="R33" i="42"/>
  <c r="R33" i="43"/>
  <c r="Q33" i="43"/>
  <c r="AB33" i="43" s="1"/>
  <c r="Q33" i="42"/>
  <c r="AB33" i="42" s="1"/>
  <c r="Q29" i="43"/>
  <c r="AB29" i="43" s="1"/>
  <c r="Q29" i="42"/>
  <c r="AB29" i="42" s="1"/>
  <c r="Q26" i="43"/>
  <c r="AB26" i="43" s="1"/>
  <c r="Q26" i="42"/>
  <c r="AB26" i="42" s="1"/>
  <c r="Q25" i="42"/>
  <c r="AB25" i="42" s="1"/>
  <c r="Q25" i="43"/>
  <c r="AB25" i="43" s="1"/>
  <c r="Q23" i="42"/>
  <c r="Q23" i="43"/>
  <c r="R23" i="42"/>
  <c r="R23" i="43"/>
  <c r="Q19" i="42"/>
  <c r="Q19" i="43"/>
  <c r="R19" i="42"/>
  <c r="R19" i="43"/>
  <c r="Q16" i="42"/>
  <c r="Q16" i="43"/>
  <c r="R16" i="42"/>
  <c r="R16" i="43"/>
  <c r="Q15" i="43"/>
  <c r="AB15" i="43" s="1"/>
  <c r="Q15" i="42"/>
  <c r="AB15" i="42" s="1"/>
  <c r="AB49" i="43" l="1"/>
  <c r="AQ53" i="43"/>
  <c r="AR53" i="43" s="1"/>
  <c r="AO53" i="43"/>
  <c r="AP53" i="43" s="1"/>
  <c r="AQ53" i="42"/>
  <c r="AR53" i="42" s="1"/>
  <c r="AO53" i="42"/>
  <c r="AP53" i="42" s="1"/>
  <c r="AO50" i="43"/>
  <c r="AP50" i="43" s="1"/>
  <c r="AQ50" i="43"/>
  <c r="AR50" i="43" s="1"/>
  <c r="AQ47" i="43"/>
  <c r="AR47" i="43" s="1"/>
  <c r="AO47" i="43"/>
  <c r="AP47" i="43" s="1"/>
  <c r="AQ50" i="42"/>
  <c r="AR50" i="42" s="1"/>
  <c r="AO50" i="42"/>
  <c r="AP50" i="42" s="1"/>
  <c r="AO47" i="42"/>
  <c r="AP47" i="42" s="1"/>
  <c r="AQ47" i="42"/>
  <c r="AR47" i="42" s="1"/>
  <c r="AO49" i="43"/>
  <c r="AP49" i="43" s="1"/>
  <c r="AQ49" i="43"/>
  <c r="AR49" i="43" s="1"/>
  <c r="AO49" i="42"/>
  <c r="AP49" i="42" s="1"/>
  <c r="AQ49" i="42"/>
  <c r="AR49" i="42" s="1"/>
  <c r="AB46" i="43"/>
  <c r="AB46" i="42"/>
  <c r="AB41" i="42"/>
  <c r="AB41" i="43"/>
  <c r="AB39" i="42"/>
  <c r="AB39" i="43"/>
  <c r="AQ37" i="43"/>
  <c r="AR37" i="43" s="1"/>
  <c r="AO37" i="43"/>
  <c r="AP37" i="43" s="1"/>
  <c r="AQ37" i="42"/>
  <c r="AR37" i="42" s="1"/>
  <c r="AO37" i="42"/>
  <c r="AP37" i="42" s="1"/>
  <c r="AQ33" i="42"/>
  <c r="AR33" i="42" s="1"/>
  <c r="AO33" i="42"/>
  <c r="AP33" i="42" s="1"/>
  <c r="AQ33" i="43"/>
  <c r="AR33" i="43" s="1"/>
  <c r="AO33" i="43"/>
  <c r="AP33" i="43" s="1"/>
  <c r="AQ29" i="42"/>
  <c r="AR29" i="42" s="1"/>
  <c r="AO29" i="42"/>
  <c r="AP29" i="42" s="1"/>
  <c r="AQ29" i="43"/>
  <c r="AR29" i="43" s="1"/>
  <c r="AO29" i="43"/>
  <c r="AP29" i="43" s="1"/>
  <c r="AQ26" i="43"/>
  <c r="AR26" i="43" s="1"/>
  <c r="AO26" i="43"/>
  <c r="AP26" i="43" s="1"/>
  <c r="AQ26" i="42"/>
  <c r="AR26" i="42" s="1"/>
  <c r="AO26" i="42"/>
  <c r="AP26" i="42" s="1"/>
  <c r="AQ25" i="43"/>
  <c r="AR25" i="43" s="1"/>
  <c r="AO25" i="43"/>
  <c r="AP25" i="43" s="1"/>
  <c r="AQ25" i="42"/>
  <c r="AR25" i="42" s="1"/>
  <c r="AO25" i="42"/>
  <c r="AP25" i="42" s="1"/>
  <c r="AB23" i="43"/>
  <c r="AB23" i="42"/>
  <c r="AB19" i="43"/>
  <c r="AB19" i="42"/>
  <c r="AB16" i="43"/>
  <c r="AB16" i="42"/>
  <c r="AO15" i="42"/>
  <c r="AP15" i="42" s="1"/>
  <c r="AQ15" i="42"/>
  <c r="AR15" i="42" s="1"/>
  <c r="AO15" i="43"/>
  <c r="AP15" i="43" s="1"/>
  <c r="AQ15" i="43"/>
  <c r="AR15" i="43" s="1"/>
  <c r="AO46" i="42" l="1"/>
  <c r="AP46" i="42" s="1"/>
  <c r="AQ46" i="42"/>
  <c r="AR46" i="42" s="1"/>
  <c r="AQ46" i="43"/>
  <c r="AR46" i="43" s="1"/>
  <c r="AO46" i="43"/>
  <c r="AP46" i="43" s="1"/>
  <c r="AO41" i="43"/>
  <c r="AP41" i="43" s="1"/>
  <c r="AQ41" i="43"/>
  <c r="AR41" i="43" s="1"/>
  <c r="AO41" i="42"/>
  <c r="AP41" i="42" s="1"/>
  <c r="AQ41" i="42"/>
  <c r="AR41" i="42" s="1"/>
  <c r="AO39" i="43"/>
  <c r="AP39" i="43" s="1"/>
  <c r="AQ39" i="43"/>
  <c r="AR39" i="43" s="1"/>
  <c r="AQ39" i="42"/>
  <c r="AR39" i="42" s="1"/>
  <c r="AO39" i="42"/>
  <c r="AP39" i="42" s="1"/>
  <c r="AQ23" i="42"/>
  <c r="AR23" i="42" s="1"/>
  <c r="AO23" i="42"/>
  <c r="AP23" i="42" s="1"/>
  <c r="AO23" i="43"/>
  <c r="AP23" i="43" s="1"/>
  <c r="AQ23" i="43"/>
  <c r="AR23" i="43" s="1"/>
  <c r="AQ19" i="42"/>
  <c r="AR19" i="42" s="1"/>
  <c r="AO19" i="42"/>
  <c r="AP19" i="42" s="1"/>
  <c r="AO19" i="43"/>
  <c r="AP19" i="43" s="1"/>
  <c r="AQ19" i="43"/>
  <c r="AR19" i="43" s="1"/>
  <c r="AO16" i="42"/>
  <c r="AP16" i="42" s="1"/>
  <c r="AQ16" i="42"/>
  <c r="AR16" i="42" s="1"/>
  <c r="AQ16" i="43"/>
  <c r="AR16" i="43" s="1"/>
  <c r="AO16" i="43"/>
  <c r="AP16" i="43" s="1"/>
  <c r="R14" i="43"/>
  <c r="R58" i="43" s="1"/>
  <c r="R14" i="42"/>
  <c r="R58" i="42" s="1"/>
  <c r="Q14" i="43" l="1"/>
  <c r="Q14" i="42"/>
  <c r="Q58" i="42" l="1"/>
  <c r="R61" i="42" s="1"/>
  <c r="R62" i="42" s="1"/>
  <c r="AB14" i="42"/>
  <c r="Q58" i="43"/>
  <c r="E81" i="43" s="1"/>
  <c r="AB14" i="43"/>
  <c r="R61" i="43" l="1"/>
  <c r="R62" i="43" s="1"/>
  <c r="F81" i="43"/>
  <c r="G13" i="33" s="1"/>
  <c r="AQ14" i="43"/>
  <c r="AO14" i="43"/>
  <c r="AB58" i="43"/>
  <c r="AQ14" i="42"/>
  <c r="AB58" i="42"/>
  <c r="AO14" i="42"/>
  <c r="AQ58" i="42" l="1"/>
  <c r="AR14" i="42"/>
  <c r="AR58" i="42" s="1"/>
  <c r="AO58" i="42"/>
  <c r="AP14" i="42"/>
  <c r="AP58" i="42" s="1"/>
  <c r="AO58" i="43"/>
  <c r="AP14" i="43"/>
  <c r="AP58" i="43" s="1"/>
  <c r="AR14" i="43"/>
  <c r="AR58" i="43" s="1"/>
  <c r="AQ58" i="43"/>
  <c r="AB58" i="41" l="1"/>
  <c r="N58" i="41"/>
  <c r="M58" i="41"/>
  <c r="K58" i="41"/>
  <c r="J58" i="41"/>
  <c r="J62" i="41" s="1"/>
  <c r="D80" i="41" s="1"/>
  <c r="AH57" i="41"/>
  <c r="AI57" i="41" s="1"/>
  <c r="AE57" i="41"/>
  <c r="AD57" i="41"/>
  <c r="AA57" i="41"/>
  <c r="AH56" i="41"/>
  <c r="AI56" i="41" s="1"/>
  <c r="AE56" i="41"/>
  <c r="AL56" i="41" s="1"/>
  <c r="AD56" i="41"/>
  <c r="AJ56" i="41" s="1"/>
  <c r="AA56" i="41"/>
  <c r="AH55" i="41"/>
  <c r="AI55" i="41" s="1"/>
  <c r="AE55" i="41"/>
  <c r="AD55" i="41"/>
  <c r="AA55" i="41"/>
  <c r="AH54" i="41"/>
  <c r="AI54" i="41" s="1"/>
  <c r="AE54" i="41"/>
  <c r="AL54" i="41" s="1"/>
  <c r="AD54" i="41"/>
  <c r="AA54" i="41"/>
  <c r="AH53" i="41"/>
  <c r="AI53" i="41" s="1"/>
  <c r="AE53" i="41"/>
  <c r="AD53" i="41"/>
  <c r="AJ53" i="41" s="1"/>
  <c r="U53" i="41"/>
  <c r="T53" i="41"/>
  <c r="Y53" i="41" s="1"/>
  <c r="S53" i="41"/>
  <c r="R53" i="41"/>
  <c r="H53" i="41"/>
  <c r="I53" i="41" s="1"/>
  <c r="AP52" i="41"/>
  <c r="AN52" i="41"/>
  <c r="AH52" i="41"/>
  <c r="AH51" i="41"/>
  <c r="AI51" i="41" s="1"/>
  <c r="AE51" i="41"/>
  <c r="AL51" i="41" s="1"/>
  <c r="AD51" i="41"/>
  <c r="T51" i="41"/>
  <c r="X51" i="41" s="1"/>
  <c r="S51" i="41"/>
  <c r="R51" i="41"/>
  <c r="Q51" i="41"/>
  <c r="P51" i="41"/>
  <c r="AH50" i="41"/>
  <c r="AI50" i="41" s="1"/>
  <c r="AE50" i="41"/>
  <c r="AD50" i="41"/>
  <c r="U50" i="41"/>
  <c r="T50" i="41"/>
  <c r="X50" i="41" s="1"/>
  <c r="S50" i="41"/>
  <c r="R50" i="41"/>
  <c r="AH49" i="41"/>
  <c r="AJ49" i="41" s="1"/>
  <c r="AF49" i="41"/>
  <c r="U49" i="41"/>
  <c r="T49" i="41"/>
  <c r="X49" i="41" s="1"/>
  <c r="S49" i="41"/>
  <c r="R49" i="41"/>
  <c r="H49" i="41"/>
  <c r="I49" i="41" s="1"/>
  <c r="AP48" i="41"/>
  <c r="AN48" i="41"/>
  <c r="AH48" i="41"/>
  <c r="AP47" i="41"/>
  <c r="AN47" i="41"/>
  <c r="AH47" i="41"/>
  <c r="AH46" i="41"/>
  <c r="AI46" i="41" s="1"/>
  <c r="AE46" i="41"/>
  <c r="AD46" i="41"/>
  <c r="T46" i="41"/>
  <c r="X46" i="41" s="1"/>
  <c r="S46" i="41"/>
  <c r="R46" i="41"/>
  <c r="Q46" i="41"/>
  <c r="P46" i="41"/>
  <c r="AH45" i="41"/>
  <c r="AF45" i="41"/>
  <c r="U45" i="41"/>
  <c r="T45" i="41"/>
  <c r="X45" i="41" s="1"/>
  <c r="S45" i="41"/>
  <c r="R45" i="41"/>
  <c r="H45" i="41"/>
  <c r="I45" i="41" s="1"/>
  <c r="AP44" i="41"/>
  <c r="AN44" i="41"/>
  <c r="AI43" i="41"/>
  <c r="AH43" i="41"/>
  <c r="AE43" i="41"/>
  <c r="AD43" i="41"/>
  <c r="AJ43" i="41" s="1"/>
  <c r="T43" i="41"/>
  <c r="X43" i="41" s="1"/>
  <c r="S43" i="41"/>
  <c r="R43" i="41"/>
  <c r="Q43" i="41"/>
  <c r="P43" i="41"/>
  <c r="AH42" i="41"/>
  <c r="AI42" i="41" s="1"/>
  <c r="AE42" i="41"/>
  <c r="AL42" i="41" s="1"/>
  <c r="AD42" i="41"/>
  <c r="T42" i="41"/>
  <c r="X42" i="41" s="1"/>
  <c r="S42" i="41"/>
  <c r="R42" i="41"/>
  <c r="Q42" i="41"/>
  <c r="P42" i="41"/>
  <c r="AH41" i="41"/>
  <c r="AJ41" i="41" s="1"/>
  <c r="AF41" i="41"/>
  <c r="Y41" i="41"/>
  <c r="U41" i="41"/>
  <c r="T41" i="41"/>
  <c r="X41" i="41" s="1"/>
  <c r="S41" i="41"/>
  <c r="R41" i="41"/>
  <c r="H41" i="41"/>
  <c r="I41" i="41" s="1"/>
  <c r="AP40" i="41"/>
  <c r="AN40" i="41"/>
  <c r="AP39" i="41"/>
  <c r="AN39" i="41"/>
  <c r="AH38" i="41"/>
  <c r="AI38" i="41" s="1"/>
  <c r="AE38" i="41"/>
  <c r="AL38" i="41" s="1"/>
  <c r="AD38" i="41"/>
  <c r="AJ38" i="41" s="1"/>
  <c r="Y38" i="41"/>
  <c r="T38" i="41"/>
  <c r="X38" i="41" s="1"/>
  <c r="S38" i="41"/>
  <c r="R38" i="41"/>
  <c r="Q38" i="41"/>
  <c r="P38" i="41"/>
  <c r="AA37" i="41"/>
  <c r="H37" i="41"/>
  <c r="I37" i="41" s="1"/>
  <c r="AH35" i="41"/>
  <c r="AI35" i="41" s="1"/>
  <c r="AE35" i="41"/>
  <c r="AD35" i="41"/>
  <c r="T35" i="41"/>
  <c r="V35" i="41" s="1"/>
  <c r="S35" i="41"/>
  <c r="R35" i="41"/>
  <c r="Q35" i="41"/>
  <c r="P35" i="41"/>
  <c r="H34" i="41"/>
  <c r="I34" i="41" s="1"/>
  <c r="AH32" i="41"/>
  <c r="AI32" i="41" s="1"/>
  <c r="AF32" i="41"/>
  <c r="AE32" i="41"/>
  <c r="T32" i="41"/>
  <c r="X32" i="41" s="1"/>
  <c r="S32" i="41"/>
  <c r="R32" i="41"/>
  <c r="Q32" i="41"/>
  <c r="P32" i="41"/>
  <c r="AH31" i="41"/>
  <c r="AI31" i="41" s="1"/>
  <c r="AE31" i="41"/>
  <c r="AL31" i="41" s="1"/>
  <c r="AD31" i="41"/>
  <c r="T31" i="41"/>
  <c r="X31" i="41" s="1"/>
  <c r="S31" i="41"/>
  <c r="R31" i="41"/>
  <c r="Q31" i="41"/>
  <c r="P31" i="41"/>
  <c r="H30" i="41"/>
  <c r="I30" i="41" s="1"/>
  <c r="AH28" i="41"/>
  <c r="AE28" i="41"/>
  <c r="AD28" i="41"/>
  <c r="Y28" i="41"/>
  <c r="X28" i="41"/>
  <c r="Z28" i="41" s="1"/>
  <c r="W28" i="41"/>
  <c r="V28" i="41"/>
  <c r="U28" i="41"/>
  <c r="S28" i="41"/>
  <c r="R28" i="41"/>
  <c r="H27" i="41"/>
  <c r="I27" i="41" s="1"/>
  <c r="AH25" i="41"/>
  <c r="AI25" i="41" s="1"/>
  <c r="AE25" i="41"/>
  <c r="AL25" i="41" s="1"/>
  <c r="AD25" i="41"/>
  <c r="AJ25" i="41" s="1"/>
  <c r="U25" i="41"/>
  <c r="T25" i="41"/>
  <c r="X25" i="41" s="1"/>
  <c r="R25" i="41"/>
  <c r="Q25" i="41"/>
  <c r="P25" i="41"/>
  <c r="O25" i="41"/>
  <c r="O58" i="41" s="1"/>
  <c r="AH24" i="41"/>
  <c r="AE24" i="41"/>
  <c r="AD24" i="41"/>
  <c r="T24" i="41"/>
  <c r="V24" i="41" s="1"/>
  <c r="S24" i="41"/>
  <c r="R24" i="41"/>
  <c r="Q24" i="41"/>
  <c r="P24" i="41"/>
  <c r="AH23" i="41"/>
  <c r="AI23" i="41" s="1"/>
  <c r="AE23" i="41"/>
  <c r="AD23" i="41"/>
  <c r="U23" i="41"/>
  <c r="T23" i="41"/>
  <c r="X23" i="41" s="1"/>
  <c r="S23" i="41"/>
  <c r="R23" i="41"/>
  <c r="H22" i="41"/>
  <c r="I22" i="41" s="1"/>
  <c r="AH20" i="41"/>
  <c r="AI20" i="41" s="1"/>
  <c r="AE20" i="41"/>
  <c r="AD20" i="41"/>
  <c r="AJ20" i="41" s="1"/>
  <c r="T20" i="41"/>
  <c r="Y20" i="41" s="1"/>
  <c r="S20" i="41"/>
  <c r="R20" i="41"/>
  <c r="Q20" i="41"/>
  <c r="P20" i="41"/>
  <c r="H19" i="41"/>
  <c r="AH17" i="41"/>
  <c r="AL17" i="41" s="1"/>
  <c r="AF17" i="41"/>
  <c r="U17" i="41"/>
  <c r="T17" i="41"/>
  <c r="X17" i="41" s="1"/>
  <c r="S17" i="41"/>
  <c r="R17" i="41"/>
  <c r="H16" i="41"/>
  <c r="I16" i="41" s="1"/>
  <c r="AH14" i="41"/>
  <c r="AI14" i="41" s="1"/>
  <c r="AE14" i="41"/>
  <c r="AD14" i="41"/>
  <c r="Y14" i="41"/>
  <c r="T14" i="41"/>
  <c r="X14" i="41" s="1"/>
  <c r="S14" i="41"/>
  <c r="R14" i="41"/>
  <c r="Q14" i="41"/>
  <c r="P14" i="41"/>
  <c r="Q58" i="41" l="1"/>
  <c r="AJ35" i="41"/>
  <c r="AJ23" i="41"/>
  <c r="AJ55" i="41"/>
  <c r="AJ24" i="41"/>
  <c r="W41" i="41"/>
  <c r="AJ46" i="41"/>
  <c r="AL50" i="41"/>
  <c r="AJ51" i="41"/>
  <c r="AJ17" i="41"/>
  <c r="U43" i="41"/>
  <c r="U51" i="41"/>
  <c r="AE58" i="41"/>
  <c r="W43" i="41"/>
  <c r="W45" i="41"/>
  <c r="W49" i="41"/>
  <c r="W51" i="41"/>
  <c r="U32" i="41"/>
  <c r="U42" i="41"/>
  <c r="Y43" i="41"/>
  <c r="Z43" i="41" s="1"/>
  <c r="AA43" i="41" s="1"/>
  <c r="Y45" i="41"/>
  <c r="Z45" i="41" s="1"/>
  <c r="AA45" i="41" s="1"/>
  <c r="Y49" i="41"/>
  <c r="Y51" i="41"/>
  <c r="Z51" i="41" s="1"/>
  <c r="W17" i="41"/>
  <c r="W32" i="41"/>
  <c r="Z38" i="41"/>
  <c r="AA38" i="41" s="1"/>
  <c r="W42" i="41"/>
  <c r="U46" i="41"/>
  <c r="W50" i="41"/>
  <c r="AL24" i="41"/>
  <c r="U38" i="41"/>
  <c r="Y42" i="41"/>
  <c r="AM45" i="41"/>
  <c r="W46" i="41"/>
  <c r="Y50" i="41"/>
  <c r="Z50" i="41" s="1"/>
  <c r="AA50" i="41" s="1"/>
  <c r="AL28" i="41"/>
  <c r="U14" i="41"/>
  <c r="Y17" i="41"/>
  <c r="Z17" i="41" s="1"/>
  <c r="AA17" i="41" s="1"/>
  <c r="W25" i="41"/>
  <c r="Y32" i="41"/>
  <c r="Z32" i="41" s="1"/>
  <c r="AA32" i="41" s="1"/>
  <c r="W14" i="41"/>
  <c r="Y25" i="41"/>
  <c r="Z25" i="41" s="1"/>
  <c r="AA28" i="41"/>
  <c r="AJ28" i="41"/>
  <c r="AG32" i="41"/>
  <c r="AK32" i="41" s="1"/>
  <c r="W38" i="41"/>
  <c r="Z41" i="41"/>
  <c r="AA41" i="41" s="1"/>
  <c r="AN41" i="41" s="1"/>
  <c r="AJ42" i="41"/>
  <c r="Y46" i="41"/>
  <c r="Z46" i="41" s="1"/>
  <c r="AJ50" i="41"/>
  <c r="AJ54" i="41"/>
  <c r="AJ57" i="41"/>
  <c r="E80" i="41"/>
  <c r="F13" i="34" s="1"/>
  <c r="AP41" i="41"/>
  <c r="Z14" i="41"/>
  <c r="I58" i="41"/>
  <c r="J66" i="41" s="1"/>
  <c r="AM17" i="41"/>
  <c r="V20" i="41"/>
  <c r="X20" i="41"/>
  <c r="Z20" i="41" s="1"/>
  <c r="AL20" i="41"/>
  <c r="V23" i="41"/>
  <c r="AL23" i="41"/>
  <c r="X24" i="41"/>
  <c r="AF24" i="41"/>
  <c r="AM24" i="41" s="1"/>
  <c r="P58" i="41"/>
  <c r="R58" i="41"/>
  <c r="V14" i="41"/>
  <c r="AD58" i="41"/>
  <c r="AF14" i="41"/>
  <c r="AJ14" i="41"/>
  <c r="AL14" i="41"/>
  <c r="H58" i="41"/>
  <c r="V17" i="41"/>
  <c r="AI17" i="41"/>
  <c r="U20" i="41"/>
  <c r="W20" i="41"/>
  <c r="W23" i="41"/>
  <c r="Y23" i="41"/>
  <c r="Z23" i="41" s="1"/>
  <c r="AA23" i="41" s="1"/>
  <c r="U24" i="41"/>
  <c r="W24" i="41"/>
  <c r="Y24" i="41"/>
  <c r="AI24" i="41"/>
  <c r="V25" i="41"/>
  <c r="AF25" i="41"/>
  <c r="AM25" i="41" s="1"/>
  <c r="AI28" i="41"/>
  <c r="U31" i="41"/>
  <c r="W31" i="41"/>
  <c r="Y31" i="41"/>
  <c r="Z31" i="41" s="1"/>
  <c r="AA31" i="41" s="1"/>
  <c r="AM32" i="41"/>
  <c r="AJ32" i="41"/>
  <c r="Y35" i="41"/>
  <c r="W35" i="41"/>
  <c r="U35" i="41"/>
  <c r="X35" i="41"/>
  <c r="AF35" i="41"/>
  <c r="AM35" i="41" s="1"/>
  <c r="Z42" i="41"/>
  <c r="AA42" i="41" s="1"/>
  <c r="AA14" i="41"/>
  <c r="AF20" i="41"/>
  <c r="AM20" i="41" s="1"/>
  <c r="AF23" i="41"/>
  <c r="AM23" i="41" s="1"/>
  <c r="S25" i="41"/>
  <c r="S58" i="41" s="1"/>
  <c r="AF28" i="41"/>
  <c r="AM28" i="41" s="1"/>
  <c r="V31" i="41"/>
  <c r="AJ31" i="41"/>
  <c r="AF31" i="41"/>
  <c r="AL32" i="41"/>
  <c r="AL35" i="41"/>
  <c r="AL41" i="41"/>
  <c r="AI41" i="41"/>
  <c r="AM41" i="41"/>
  <c r="V32" i="41"/>
  <c r="V38" i="41"/>
  <c r="AF38" i="41"/>
  <c r="AM38" i="41" s="1"/>
  <c r="V41" i="41"/>
  <c r="V42" i="41"/>
  <c r="AF42" i="41"/>
  <c r="V43" i="41"/>
  <c r="AF43" i="41"/>
  <c r="AM43" i="41" s="1"/>
  <c r="AL43" i="41"/>
  <c r="V45" i="41"/>
  <c r="AI45" i="41"/>
  <c r="AL45" i="41"/>
  <c r="V46" i="41"/>
  <c r="AF46" i="41"/>
  <c r="AM46" i="41" s="1"/>
  <c r="AL46" i="41"/>
  <c r="Z49" i="41"/>
  <c r="AA49" i="41" s="1"/>
  <c r="AL49" i="41"/>
  <c r="AI49" i="41"/>
  <c r="AM49" i="41"/>
  <c r="AJ45" i="41"/>
  <c r="V53" i="41"/>
  <c r="X53" i="41"/>
  <c r="Z53" i="41" s="1"/>
  <c r="AA53" i="41" s="1"/>
  <c r="AF53" i="41"/>
  <c r="AM53" i="41" s="1"/>
  <c r="AL53" i="41"/>
  <c r="AF55" i="41"/>
  <c r="AM55" i="41" s="1"/>
  <c r="AL55" i="41"/>
  <c r="AF57" i="41"/>
  <c r="AM57" i="41" s="1"/>
  <c r="AL57" i="41"/>
  <c r="V49" i="41"/>
  <c r="V50" i="41"/>
  <c r="AF50" i="41"/>
  <c r="AM50" i="41" s="1"/>
  <c r="V51" i="41"/>
  <c r="AF51" i="41"/>
  <c r="AM51" i="41" s="1"/>
  <c r="W53" i="41"/>
  <c r="AF54" i="41"/>
  <c r="AM54" i="41" s="1"/>
  <c r="AF56" i="41"/>
  <c r="AM56" i="41" s="1"/>
  <c r="AG35" i="41" l="1"/>
  <c r="AK35" i="41" s="1"/>
  <c r="U58" i="41"/>
  <c r="AA51" i="41"/>
  <c r="AN45" i="41"/>
  <c r="AP45" i="41"/>
  <c r="AA46" i="41"/>
  <c r="Y58" i="41"/>
  <c r="J61" i="41"/>
  <c r="J63" i="41" s="1"/>
  <c r="AQ36" i="41" s="1"/>
  <c r="E70" i="41"/>
  <c r="E71" i="41" s="1"/>
  <c r="AG24" i="41"/>
  <c r="AK24" i="41" s="1"/>
  <c r="W58" i="41"/>
  <c r="AI58" i="41"/>
  <c r="AG56" i="41"/>
  <c r="AG51" i="41"/>
  <c r="AK51" i="41" s="1"/>
  <c r="AP51" i="41" s="1"/>
  <c r="AA20" i="41"/>
  <c r="AP32" i="41"/>
  <c r="AQ32" i="41" s="1"/>
  <c r="AN32" i="41"/>
  <c r="AO32" i="41" s="1"/>
  <c r="AQ48" i="41"/>
  <c r="AO48" i="41"/>
  <c r="AQ44" i="41"/>
  <c r="AO44" i="41"/>
  <c r="AQ40" i="41"/>
  <c r="AO40" i="41"/>
  <c r="AQ39" i="41"/>
  <c r="AQ29" i="41"/>
  <c r="AO26" i="41"/>
  <c r="AQ21" i="41"/>
  <c r="AQ19" i="41"/>
  <c r="AO21" i="41"/>
  <c r="AO19" i="41"/>
  <c r="AQ18" i="41"/>
  <c r="AO52" i="41"/>
  <c r="AM42" i="41"/>
  <c r="AG42" i="41"/>
  <c r="AK42" i="41" s="1"/>
  <c r="AP42" i="41" s="1"/>
  <c r="AP49" i="41"/>
  <c r="AQ49" i="41" s="1"/>
  <c r="AN49" i="41"/>
  <c r="AO49" i="41" s="1"/>
  <c r="AO45" i="41"/>
  <c r="AM31" i="41"/>
  <c r="AG31" i="41"/>
  <c r="AK31" i="41" s="1"/>
  <c r="AP31" i="41" s="1"/>
  <c r="AG54" i="41"/>
  <c r="AG50" i="41"/>
  <c r="AK50" i="41" s="1"/>
  <c r="AP50" i="41" s="1"/>
  <c r="AG55" i="41"/>
  <c r="AQ52" i="41"/>
  <c r="AG57" i="41"/>
  <c r="AG53" i="41"/>
  <c r="AK53" i="41" s="1"/>
  <c r="AP53" i="41" s="1"/>
  <c r="AQ53" i="41" s="1"/>
  <c r="AG46" i="41"/>
  <c r="AG38" i="41"/>
  <c r="Z35" i="41"/>
  <c r="AA35" i="41" s="1"/>
  <c r="AJ58" i="41"/>
  <c r="AG25" i="41"/>
  <c r="AK25" i="41" s="1"/>
  <c r="AG28" i="41"/>
  <c r="X58" i="41"/>
  <c r="AP17" i="41"/>
  <c r="AQ17" i="41" s="1"/>
  <c r="AN17" i="41"/>
  <c r="AO17" i="41" s="1"/>
  <c r="AA25" i="41"/>
  <c r="AO47" i="41"/>
  <c r="AG43" i="41"/>
  <c r="AK43" i="41" s="1"/>
  <c r="AP43" i="41" s="1"/>
  <c r="AL58" i="41"/>
  <c r="AF58" i="41"/>
  <c r="AM14" i="41"/>
  <c r="V58" i="41"/>
  <c r="Z24" i="41"/>
  <c r="AA24" i="41" s="1"/>
  <c r="AG14" i="41"/>
  <c r="AG20" i="41"/>
  <c r="AK20" i="41" s="1"/>
  <c r="AG23" i="41"/>
  <c r="AK23" i="41" s="1"/>
  <c r="AP23" i="41" s="1"/>
  <c r="AQ23" i="41" s="1"/>
  <c r="AN31" i="41" l="1"/>
  <c r="AN20" i="41"/>
  <c r="AO20" i="41" s="1"/>
  <c r="E73" i="41"/>
  <c r="E74" i="41" s="1"/>
  <c r="D81" i="41" s="1"/>
  <c r="E81" i="41" s="1"/>
  <c r="F90" i="34" s="1"/>
  <c r="D79" i="41"/>
  <c r="E79" i="41" s="1"/>
  <c r="AQ51" i="41"/>
  <c r="AQ41" i="41"/>
  <c r="AQ42" i="41"/>
  <c r="AQ26" i="41"/>
  <c r="AO33" i="41"/>
  <c r="AO29" i="41"/>
  <c r="AN51" i="41"/>
  <c r="AO51" i="41" s="1"/>
  <c r="AK56" i="41"/>
  <c r="AP56" i="41" s="1"/>
  <c r="AQ56" i="41" s="1"/>
  <c r="AN56" i="41"/>
  <c r="AO56" i="41" s="1"/>
  <c r="AQ15" i="41"/>
  <c r="AO41" i="41"/>
  <c r="AQ45" i="41"/>
  <c r="Z58" i="41"/>
  <c r="Q64" i="41" s="1"/>
  <c r="Q65" i="41" s="1"/>
  <c r="AO31" i="41"/>
  <c r="AQ50" i="41"/>
  <c r="AO15" i="41"/>
  <c r="AO36" i="41"/>
  <c r="AQ33" i="41"/>
  <c r="AP20" i="41"/>
  <c r="AQ20" i="41" s="1"/>
  <c r="AQ43" i="41"/>
  <c r="AN50" i="41"/>
  <c r="AO50" i="41" s="1"/>
  <c r="AQ31" i="41"/>
  <c r="AQ47" i="41"/>
  <c r="AO18" i="41"/>
  <c r="AO39" i="41"/>
  <c r="AP24" i="41"/>
  <c r="AQ24" i="41" s="1"/>
  <c r="AN24" i="41"/>
  <c r="AO24" i="41" s="1"/>
  <c r="AA58" i="41"/>
  <c r="AP35" i="41"/>
  <c r="AQ35" i="41" s="1"/>
  <c r="AN35" i="41"/>
  <c r="AO35" i="41" s="1"/>
  <c r="AG58" i="41"/>
  <c r="AG61" i="41" s="1"/>
  <c r="AG62" i="41" s="1"/>
  <c r="AK14" i="41"/>
  <c r="AP25" i="41"/>
  <c r="AQ25" i="41" s="1"/>
  <c r="AN25" i="41"/>
  <c r="AO25" i="41" s="1"/>
  <c r="AN43" i="41"/>
  <c r="AO43" i="41" s="1"/>
  <c r="AN14" i="41"/>
  <c r="AN23" i="41"/>
  <c r="AO23" i="41" s="1"/>
  <c r="Q61" i="41"/>
  <c r="Q62" i="41" s="1"/>
  <c r="AM58" i="41"/>
  <c r="AK28" i="41"/>
  <c r="AP28" i="41" s="1"/>
  <c r="AQ28" i="41" s="1"/>
  <c r="AN28" i="41"/>
  <c r="AO28" i="41" s="1"/>
  <c r="AK38" i="41"/>
  <c r="AP38" i="41" s="1"/>
  <c r="AQ38" i="41" s="1"/>
  <c r="AN38" i="41"/>
  <c r="AO38" i="41" s="1"/>
  <c r="AK46" i="41"/>
  <c r="AP46" i="41" s="1"/>
  <c r="AQ46" i="41" s="1"/>
  <c r="AN46" i="41"/>
  <c r="AO46" i="41" s="1"/>
  <c r="AK57" i="41"/>
  <c r="AP57" i="41" s="1"/>
  <c r="AQ57" i="41" s="1"/>
  <c r="AN57" i="41"/>
  <c r="AO57" i="41" s="1"/>
  <c r="AK55" i="41"/>
  <c r="AP55" i="41" s="1"/>
  <c r="AQ55" i="41" s="1"/>
  <c r="AN55" i="41"/>
  <c r="AO55" i="41" s="1"/>
  <c r="AK54" i="41"/>
  <c r="AP54" i="41" s="1"/>
  <c r="AQ54" i="41" s="1"/>
  <c r="AN54" i="41"/>
  <c r="AO54" i="41" s="1"/>
  <c r="AN53" i="41"/>
  <c r="AO53" i="41" s="1"/>
  <c r="AN42" i="41"/>
  <c r="AO42" i="41" s="1"/>
  <c r="AN58" i="41" l="1"/>
  <c r="AO14" i="41"/>
  <c r="AO58" i="41" s="1"/>
  <c r="AK61" i="41"/>
  <c r="AK62" i="41" s="1"/>
  <c r="AK58" i="41"/>
  <c r="AP14" i="41"/>
  <c r="AP58" i="41" l="1"/>
  <c r="AQ14" i="41"/>
  <c r="AQ58" i="41" s="1"/>
  <c r="E84" i="40" l="1"/>
  <c r="F84" i="40" l="1"/>
  <c r="F90" i="33" s="1"/>
  <c r="AB58" i="40"/>
  <c r="N58" i="40"/>
  <c r="M58" i="40"/>
  <c r="K58" i="40"/>
  <c r="J58" i="40"/>
  <c r="J62" i="40" s="1"/>
  <c r="AH57" i="40"/>
  <c r="AI57" i="40" s="1"/>
  <c r="AE57" i="40"/>
  <c r="AD57" i="40"/>
  <c r="AA57" i="40"/>
  <c r="AH56" i="40"/>
  <c r="AI56" i="40" s="1"/>
  <c r="AE56" i="40"/>
  <c r="AD56" i="40"/>
  <c r="AJ56" i="40" s="1"/>
  <c r="AA56" i="40"/>
  <c r="AH55" i="40"/>
  <c r="AI55" i="40" s="1"/>
  <c r="AE55" i="40"/>
  <c r="AD55" i="40"/>
  <c r="AJ55" i="40" s="1"/>
  <c r="AA55" i="40"/>
  <c r="AH54" i="40"/>
  <c r="AI54" i="40" s="1"/>
  <c r="AE54" i="40"/>
  <c r="AL54" i="40" s="1"/>
  <c r="AD54" i="40"/>
  <c r="AJ54" i="40" s="1"/>
  <c r="AA54" i="40"/>
  <c r="AH53" i="40"/>
  <c r="AI53" i="40" s="1"/>
  <c r="AE53" i="40"/>
  <c r="AD53" i="40"/>
  <c r="U53" i="40"/>
  <c r="T53" i="40"/>
  <c r="Y53" i="40" s="1"/>
  <c r="S53" i="40"/>
  <c r="R53" i="40"/>
  <c r="H53" i="40"/>
  <c r="I53" i="40" s="1"/>
  <c r="AP52" i="40"/>
  <c r="AN52" i="40"/>
  <c r="AH52" i="40"/>
  <c r="AH51" i="40"/>
  <c r="AI51" i="40" s="1"/>
  <c r="AE51" i="40"/>
  <c r="AL51" i="40" s="1"/>
  <c r="AD51" i="40"/>
  <c r="T51" i="40"/>
  <c r="X51" i="40" s="1"/>
  <c r="S51" i="40"/>
  <c r="R51" i="40"/>
  <c r="Q51" i="40"/>
  <c r="P51" i="40"/>
  <c r="AH50" i="40"/>
  <c r="AI50" i="40" s="1"/>
  <c r="AE50" i="40"/>
  <c r="AD50" i="40"/>
  <c r="U50" i="40"/>
  <c r="T50" i="40"/>
  <c r="X50" i="40" s="1"/>
  <c r="S50" i="40"/>
  <c r="R50" i="40"/>
  <c r="AH49" i="40"/>
  <c r="AJ49" i="40" s="1"/>
  <c r="AF49" i="40"/>
  <c r="U49" i="40"/>
  <c r="T49" i="40"/>
  <c r="X49" i="40" s="1"/>
  <c r="S49" i="40"/>
  <c r="R49" i="40"/>
  <c r="H49" i="40"/>
  <c r="I49" i="40" s="1"/>
  <c r="AP48" i="40"/>
  <c r="AN48" i="40"/>
  <c r="AH48" i="40"/>
  <c r="AP47" i="40"/>
  <c r="AN47" i="40"/>
  <c r="AH47" i="40"/>
  <c r="AH46" i="40"/>
  <c r="AI46" i="40" s="1"/>
  <c r="AE46" i="40"/>
  <c r="AD46" i="40"/>
  <c r="T46" i="40"/>
  <c r="X46" i="40" s="1"/>
  <c r="S46" i="40"/>
  <c r="R46" i="40"/>
  <c r="Q46" i="40"/>
  <c r="P46" i="40"/>
  <c r="AH45" i="40"/>
  <c r="AJ45" i="40" s="1"/>
  <c r="AF45" i="40"/>
  <c r="U45" i="40"/>
  <c r="T45" i="40"/>
  <c r="X45" i="40" s="1"/>
  <c r="S45" i="40"/>
  <c r="R45" i="40"/>
  <c r="H45" i="40"/>
  <c r="I45" i="40" s="1"/>
  <c r="AP44" i="40"/>
  <c r="AN44" i="40"/>
  <c r="AH43" i="40"/>
  <c r="AE43" i="40"/>
  <c r="AD43" i="40"/>
  <c r="AJ43" i="40" s="1"/>
  <c r="T43" i="40"/>
  <c r="X43" i="40" s="1"/>
  <c r="S43" i="40"/>
  <c r="R43" i="40"/>
  <c r="Q43" i="40"/>
  <c r="P43" i="40"/>
  <c r="AH42" i="40"/>
  <c r="AI42" i="40" s="1"/>
  <c r="AE42" i="40"/>
  <c r="AD42" i="40"/>
  <c r="T42" i="40"/>
  <c r="V42" i="40" s="1"/>
  <c r="S42" i="40"/>
  <c r="R42" i="40"/>
  <c r="Q42" i="40"/>
  <c r="P42" i="40"/>
  <c r="AH41" i="40"/>
  <c r="AJ41" i="40" s="1"/>
  <c r="AF41" i="40"/>
  <c r="AM41" i="40" s="1"/>
  <c r="U41" i="40"/>
  <c r="T41" i="40"/>
  <c r="X41" i="40" s="1"/>
  <c r="S41" i="40"/>
  <c r="R41" i="40"/>
  <c r="H41" i="40"/>
  <c r="I41" i="40" s="1"/>
  <c r="AP40" i="40"/>
  <c r="AN40" i="40"/>
  <c r="AP39" i="40"/>
  <c r="AN39" i="40"/>
  <c r="AH38" i="40"/>
  <c r="AI38" i="40" s="1"/>
  <c r="AE38" i="40"/>
  <c r="AD38" i="40"/>
  <c r="AJ38" i="40" s="1"/>
  <c r="T38" i="40"/>
  <c r="V38" i="40" s="1"/>
  <c r="S38" i="40"/>
  <c r="R38" i="40"/>
  <c r="Q38" i="40"/>
  <c r="P38" i="40"/>
  <c r="AA37" i="40"/>
  <c r="H37" i="40"/>
  <c r="I37" i="40" s="1"/>
  <c r="AH35" i="40"/>
  <c r="AI35" i="40" s="1"/>
  <c r="AE35" i="40"/>
  <c r="AD35" i="40"/>
  <c r="Y35" i="40"/>
  <c r="T35" i="40"/>
  <c r="X35" i="40" s="1"/>
  <c r="S35" i="40"/>
  <c r="R35" i="40"/>
  <c r="Q35" i="40"/>
  <c r="P35" i="40"/>
  <c r="H34" i="40"/>
  <c r="I34" i="40" s="1"/>
  <c r="AH32" i="40"/>
  <c r="AJ32" i="40" s="1"/>
  <c r="AF32" i="40"/>
  <c r="AE32" i="40"/>
  <c r="AL32" i="40" s="1"/>
  <c r="T32" i="40"/>
  <c r="Y32" i="40" s="1"/>
  <c r="S32" i="40"/>
  <c r="R32" i="40"/>
  <c r="Q32" i="40"/>
  <c r="P32" i="40"/>
  <c r="AI31" i="40"/>
  <c r="AH31" i="40"/>
  <c r="AE31" i="40"/>
  <c r="AD31" i="40"/>
  <c r="AJ31" i="40" s="1"/>
  <c r="T31" i="40"/>
  <c r="X31" i="40" s="1"/>
  <c r="S31" i="40"/>
  <c r="R31" i="40"/>
  <c r="Q31" i="40"/>
  <c r="P31" i="40"/>
  <c r="H30" i="40"/>
  <c r="I30" i="40" s="1"/>
  <c r="AH28" i="40"/>
  <c r="AI28" i="40" s="1"/>
  <c r="AE28" i="40"/>
  <c r="AD28" i="40"/>
  <c r="Y28" i="40"/>
  <c r="X28" i="40"/>
  <c r="W28" i="40"/>
  <c r="V28" i="40"/>
  <c r="U28" i="40"/>
  <c r="S28" i="40"/>
  <c r="R28" i="40"/>
  <c r="H27" i="40"/>
  <c r="I27" i="40" s="1"/>
  <c r="AH25" i="40"/>
  <c r="AE25" i="40"/>
  <c r="AD25" i="40"/>
  <c r="AJ25" i="40" s="1"/>
  <c r="T25" i="40"/>
  <c r="X25" i="40" s="1"/>
  <c r="R25" i="40"/>
  <c r="Q25" i="40"/>
  <c r="P25" i="40"/>
  <c r="O25" i="40"/>
  <c r="O58" i="40" s="1"/>
  <c r="AH24" i="40"/>
  <c r="AI24" i="40" s="1"/>
  <c r="AE24" i="40"/>
  <c r="AD24" i="40"/>
  <c r="T24" i="40"/>
  <c r="X24" i="40" s="1"/>
  <c r="S24" i="40"/>
  <c r="R24" i="40"/>
  <c r="Q24" i="40"/>
  <c r="P24" i="40"/>
  <c r="AH23" i="40"/>
  <c r="AI23" i="40" s="1"/>
  <c r="AE23" i="40"/>
  <c r="AD23" i="40"/>
  <c r="U23" i="40"/>
  <c r="T23" i="40"/>
  <c r="X23" i="40" s="1"/>
  <c r="S23" i="40"/>
  <c r="R23" i="40"/>
  <c r="H22" i="40"/>
  <c r="I22" i="40" s="1"/>
  <c r="AH20" i="40"/>
  <c r="AI20" i="40" s="1"/>
  <c r="AE20" i="40"/>
  <c r="AD20" i="40"/>
  <c r="T20" i="40"/>
  <c r="X20" i="40" s="1"/>
  <c r="S20" i="40"/>
  <c r="R20" i="40"/>
  <c r="Q20" i="40"/>
  <c r="P20" i="40"/>
  <c r="H19" i="40"/>
  <c r="AH17" i="40"/>
  <c r="AJ17" i="40" s="1"/>
  <c r="AF17" i="40"/>
  <c r="U17" i="40"/>
  <c r="T17" i="40"/>
  <c r="Y17" i="40" s="1"/>
  <c r="S17" i="40"/>
  <c r="R17" i="40"/>
  <c r="H16" i="40"/>
  <c r="AH14" i="40"/>
  <c r="AI14" i="40" s="1"/>
  <c r="AE14" i="40"/>
  <c r="AD14" i="40"/>
  <c r="T14" i="40"/>
  <c r="X14" i="40" s="1"/>
  <c r="S14" i="40"/>
  <c r="R14" i="40"/>
  <c r="Q14" i="40"/>
  <c r="P14" i="40"/>
  <c r="AI17" i="40" l="1"/>
  <c r="Y23" i="40"/>
  <c r="AD58" i="40"/>
  <c r="AJ46" i="40"/>
  <c r="AJ50" i="40"/>
  <c r="AJ57" i="40"/>
  <c r="U20" i="40"/>
  <c r="AM17" i="40"/>
  <c r="U24" i="40"/>
  <c r="AL46" i="40"/>
  <c r="AL50" i="40"/>
  <c r="AJ51" i="40"/>
  <c r="AI45" i="40"/>
  <c r="AJ23" i="40"/>
  <c r="U31" i="40"/>
  <c r="AJ42" i="40"/>
  <c r="Y49" i="40"/>
  <c r="Z49" i="40" s="1"/>
  <c r="AA49" i="40" s="1"/>
  <c r="Y50" i="40"/>
  <c r="AL25" i="40"/>
  <c r="Y31" i="40"/>
  <c r="Z31" i="40" s="1"/>
  <c r="U35" i="40"/>
  <c r="AI41" i="40"/>
  <c r="AJ35" i="40"/>
  <c r="AL43" i="40"/>
  <c r="U51" i="40"/>
  <c r="AJ53" i="40"/>
  <c r="Y20" i="40"/>
  <c r="Z20" i="40" s="1"/>
  <c r="AJ20" i="40"/>
  <c r="Y24" i="40"/>
  <c r="AJ28" i="40"/>
  <c r="AJ24" i="40"/>
  <c r="U32" i="40"/>
  <c r="AL35" i="40"/>
  <c r="AM45" i="40"/>
  <c r="Y51" i="40"/>
  <c r="Z51" i="40" s="1"/>
  <c r="AA51" i="40" s="1"/>
  <c r="P58" i="40"/>
  <c r="R58" i="40"/>
  <c r="H58" i="40"/>
  <c r="J61" i="40" s="1"/>
  <c r="AL17" i="40"/>
  <c r="W20" i="40"/>
  <c r="Z23" i="40"/>
  <c r="AA23" i="40" s="1"/>
  <c r="W23" i="40"/>
  <c r="Z24" i="40"/>
  <c r="W24" i="40"/>
  <c r="Z28" i="40"/>
  <c r="AA28" i="40" s="1"/>
  <c r="W31" i="40"/>
  <c r="W32" i="40"/>
  <c r="AI32" i="40"/>
  <c r="W35" i="40"/>
  <c r="AL41" i="40"/>
  <c r="AL45" i="40"/>
  <c r="W49" i="40"/>
  <c r="W50" i="40"/>
  <c r="W51" i="40"/>
  <c r="AL56" i="40"/>
  <c r="AM32" i="40"/>
  <c r="AF14" i="40"/>
  <c r="AG14" i="40" s="1"/>
  <c r="AJ14" i="40"/>
  <c r="AL14" i="40"/>
  <c r="V17" i="40"/>
  <c r="X17" i="40"/>
  <c r="Z17" i="40" s="1"/>
  <c r="AA17" i="40" s="1"/>
  <c r="Q58" i="40"/>
  <c r="U14" i="40"/>
  <c r="W14" i="40"/>
  <c r="Y14" i="40"/>
  <c r="AE58" i="40"/>
  <c r="I16" i="40"/>
  <c r="I58" i="40" s="1"/>
  <c r="J66" i="40" s="1"/>
  <c r="W17" i="40"/>
  <c r="V20" i="40"/>
  <c r="AF20" i="40"/>
  <c r="AM20" i="40" s="1"/>
  <c r="AL20" i="40"/>
  <c r="V23" i="40"/>
  <c r="AF23" i="40"/>
  <c r="AM23" i="40" s="1"/>
  <c r="AL23" i="40"/>
  <c r="V24" i="40"/>
  <c r="AF24" i="40"/>
  <c r="AM24" i="40" s="1"/>
  <c r="AL24" i="40"/>
  <c r="S25" i="40"/>
  <c r="U25" i="40"/>
  <c r="W25" i="40"/>
  <c r="Y25" i="40"/>
  <c r="Z25" i="40" s="1"/>
  <c r="AI25" i="40"/>
  <c r="AI58" i="40" s="1"/>
  <c r="AF28" i="40"/>
  <c r="AM28" i="40" s="1"/>
  <c r="AL28" i="40"/>
  <c r="V31" i="40"/>
  <c r="AF31" i="40"/>
  <c r="AM31" i="40" s="1"/>
  <c r="AL31" i="40"/>
  <c r="V32" i="40"/>
  <c r="X32" i="40"/>
  <c r="Z32" i="40" s="1"/>
  <c r="AA32" i="40" s="1"/>
  <c r="AG32" i="40"/>
  <c r="AK32" i="40" s="1"/>
  <c r="Z35" i="40"/>
  <c r="Y38" i="40"/>
  <c r="W38" i="40"/>
  <c r="U38" i="40"/>
  <c r="X38" i="40"/>
  <c r="AF38" i="40"/>
  <c r="AM38" i="40" s="1"/>
  <c r="Y42" i="40"/>
  <c r="W42" i="40"/>
  <c r="U42" i="40"/>
  <c r="X42" i="40"/>
  <c r="AF42" i="40"/>
  <c r="AM42" i="40" s="1"/>
  <c r="V14" i="40"/>
  <c r="V25" i="40"/>
  <c r="AF25" i="40"/>
  <c r="AM25" i="40" s="1"/>
  <c r="AL38" i="40"/>
  <c r="Y41" i="40"/>
  <c r="Z41" i="40" s="1"/>
  <c r="AA41" i="40" s="1"/>
  <c r="W41" i="40"/>
  <c r="V41" i="40"/>
  <c r="AL42" i="40"/>
  <c r="V35" i="40"/>
  <c r="AF35" i="40"/>
  <c r="U43" i="40"/>
  <c r="W43" i="40"/>
  <c r="Y43" i="40"/>
  <c r="Z43" i="40" s="1"/>
  <c r="AI43" i="40"/>
  <c r="W45" i="40"/>
  <c r="Y45" i="40"/>
  <c r="Z45" i="40" s="1"/>
  <c r="AA45" i="40" s="1"/>
  <c r="U46" i="40"/>
  <c r="W46" i="40"/>
  <c r="Y46" i="40"/>
  <c r="Z46" i="40" s="1"/>
  <c r="Z50" i="40"/>
  <c r="AA50" i="40" s="1"/>
  <c r="V43" i="40"/>
  <c r="AF43" i="40"/>
  <c r="AM43" i="40" s="1"/>
  <c r="V45" i="40"/>
  <c r="V46" i="40"/>
  <c r="AL49" i="40"/>
  <c r="AI49" i="40"/>
  <c r="AM49" i="40"/>
  <c r="AG53" i="40"/>
  <c r="AK53" i="40" s="1"/>
  <c r="J63" i="40"/>
  <c r="AO44" i="40" s="1"/>
  <c r="V53" i="40"/>
  <c r="X53" i="40"/>
  <c r="Z53" i="40" s="1"/>
  <c r="AA53" i="40" s="1"/>
  <c r="AF53" i="40"/>
  <c r="AM53" i="40" s="1"/>
  <c r="AL53" i="40"/>
  <c r="AF55" i="40"/>
  <c r="AM55" i="40" s="1"/>
  <c r="AL55" i="40"/>
  <c r="AF57" i="40"/>
  <c r="AM57" i="40" s="1"/>
  <c r="AL57" i="40"/>
  <c r="AF46" i="40"/>
  <c r="AM46" i="40" s="1"/>
  <c r="V49" i="40"/>
  <c r="V50" i="40"/>
  <c r="AF50" i="40"/>
  <c r="V51" i="40"/>
  <c r="AF51" i="40"/>
  <c r="AM51" i="40" s="1"/>
  <c r="W53" i="40"/>
  <c r="AF54" i="40"/>
  <c r="AM54" i="40" s="1"/>
  <c r="AF56" i="40"/>
  <c r="AM56" i="40" s="1"/>
  <c r="AA20" i="40" l="1"/>
  <c r="AA35" i="40"/>
  <c r="AA24" i="40"/>
  <c r="AA31" i="40"/>
  <c r="AP49" i="40"/>
  <c r="AN49" i="40"/>
  <c r="AO49" i="40" s="1"/>
  <c r="AG28" i="40"/>
  <c r="AK28" i="40" s="1"/>
  <c r="AP28" i="40" s="1"/>
  <c r="AQ28" i="40" s="1"/>
  <c r="AA46" i="40"/>
  <c r="AA25" i="40"/>
  <c r="AA43" i="40"/>
  <c r="AG57" i="40"/>
  <c r="AK57" i="40" s="1"/>
  <c r="AP57" i="40" s="1"/>
  <c r="AQ57" i="40" s="1"/>
  <c r="AG46" i="40"/>
  <c r="AK46" i="40" s="1"/>
  <c r="AQ40" i="40"/>
  <c r="AO40" i="40"/>
  <c r="AG23" i="40"/>
  <c r="AK23" i="40" s="1"/>
  <c r="AP23" i="40" s="1"/>
  <c r="AQ23" i="40" s="1"/>
  <c r="AP53" i="40"/>
  <c r="AQ53" i="40" s="1"/>
  <c r="AN53" i="40"/>
  <c r="AO53" i="40" s="1"/>
  <c r="AP46" i="40"/>
  <c r="AQ46" i="40" s="1"/>
  <c r="AP41" i="40"/>
  <c r="AQ41" i="40" s="1"/>
  <c r="AN41" i="40"/>
  <c r="AO41" i="40" s="1"/>
  <c r="AP45" i="40"/>
  <c r="AQ45" i="40" s="1"/>
  <c r="AN45" i="40"/>
  <c r="AO45" i="40" s="1"/>
  <c r="AP32" i="40"/>
  <c r="AQ32" i="40" s="1"/>
  <c r="AN32" i="40"/>
  <c r="AO32" i="40" s="1"/>
  <c r="AM50" i="40"/>
  <c r="AG50" i="40"/>
  <c r="AK50" i="40" s="1"/>
  <c r="AP50" i="40" s="1"/>
  <c r="AQ50" i="40" s="1"/>
  <c r="AG56" i="40"/>
  <c r="AM35" i="40"/>
  <c r="AG35" i="40"/>
  <c r="AK35" i="40" s="1"/>
  <c r="AP35" i="40" s="1"/>
  <c r="AQ35" i="40" s="1"/>
  <c r="V58" i="40"/>
  <c r="E82" i="40" s="1"/>
  <c r="F82" i="40" s="1"/>
  <c r="F88" i="33" s="1"/>
  <c r="AG54" i="40"/>
  <c r="AQ48" i="40"/>
  <c r="AO48" i="40"/>
  <c r="AO36" i="40"/>
  <c r="AO33" i="40"/>
  <c r="AQ33" i="40"/>
  <c r="AQ29" i="40"/>
  <c r="AO26" i="40"/>
  <c r="AQ36" i="40"/>
  <c r="AO29" i="40"/>
  <c r="AQ26" i="40"/>
  <c r="AO21" i="40"/>
  <c r="AO19" i="40"/>
  <c r="AQ18" i="40"/>
  <c r="AQ15" i="40"/>
  <c r="AQ21" i="40"/>
  <c r="AQ19" i="40"/>
  <c r="AO18" i="40"/>
  <c r="AO15" i="40"/>
  <c r="AO52" i="40"/>
  <c r="AQ47" i="40"/>
  <c r="AG55" i="40"/>
  <c r="AQ52" i="40"/>
  <c r="AO47" i="40"/>
  <c r="AQ44" i="40"/>
  <c r="AG42" i="40"/>
  <c r="AK42" i="40" s="1"/>
  <c r="AQ39" i="40"/>
  <c r="AG38" i="40"/>
  <c r="AK38" i="40" s="1"/>
  <c r="AQ49" i="40"/>
  <c r="AG43" i="40"/>
  <c r="AK43" i="40" s="1"/>
  <c r="Z42" i="40"/>
  <c r="AA42" i="40" s="1"/>
  <c r="AO39" i="40"/>
  <c r="Z38" i="40"/>
  <c r="AA38" i="40" s="1"/>
  <c r="Y58" i="40"/>
  <c r="U58" i="40"/>
  <c r="E79" i="40" s="1"/>
  <c r="F79" i="40" s="1"/>
  <c r="F13" i="33" s="1"/>
  <c r="AL58" i="40"/>
  <c r="AF58" i="40"/>
  <c r="AM14" i="40"/>
  <c r="AG20" i="40"/>
  <c r="AG25" i="40"/>
  <c r="AK25" i="40" s="1"/>
  <c r="AP25" i="40" s="1"/>
  <c r="AQ25" i="40" s="1"/>
  <c r="AG31" i="40"/>
  <c r="AG24" i="40"/>
  <c r="Z14" i="40"/>
  <c r="AG51" i="40"/>
  <c r="AK14" i="40"/>
  <c r="W58" i="40"/>
  <c r="S58" i="40"/>
  <c r="AJ58" i="40"/>
  <c r="AN17" i="40"/>
  <c r="AO17" i="40" s="1"/>
  <c r="AP17" i="40"/>
  <c r="AQ17" i="40" s="1"/>
  <c r="X58" i="40"/>
  <c r="D31" i="32"/>
  <c r="D32" i="32" s="1"/>
  <c r="C49" i="32" s="1"/>
  <c r="D49" i="32" s="1"/>
  <c r="AN28" i="40" l="1"/>
  <c r="AO28" i="40" s="1"/>
  <c r="AN57" i="40"/>
  <c r="AO57" i="40" s="1"/>
  <c r="E80" i="40"/>
  <c r="F80" i="40" s="1"/>
  <c r="AN46" i="40"/>
  <c r="AO46" i="40" s="1"/>
  <c r="AP43" i="40"/>
  <c r="AQ43" i="40" s="1"/>
  <c r="E83" i="40"/>
  <c r="F83" i="40" s="1"/>
  <c r="F89" i="33" s="1"/>
  <c r="AN23" i="40"/>
  <c r="AO23" i="40" s="1"/>
  <c r="AM58" i="40"/>
  <c r="E81" i="40" s="1"/>
  <c r="F81" i="40" s="1"/>
  <c r="AP38" i="40"/>
  <c r="AQ38" i="40" s="1"/>
  <c r="AN38" i="40"/>
  <c r="AO38" i="40" s="1"/>
  <c r="AP42" i="40"/>
  <c r="AQ42" i="40" s="1"/>
  <c r="AN42" i="40"/>
  <c r="AO42" i="40" s="1"/>
  <c r="AK54" i="40"/>
  <c r="AP54" i="40" s="1"/>
  <c r="AQ54" i="40" s="1"/>
  <c r="AN54" i="40"/>
  <c r="AO54" i="40" s="1"/>
  <c r="AK56" i="40"/>
  <c r="AP56" i="40" s="1"/>
  <c r="AQ56" i="40" s="1"/>
  <c r="AN56" i="40"/>
  <c r="AO56" i="40" s="1"/>
  <c r="AG58" i="40"/>
  <c r="AG61" i="40" s="1"/>
  <c r="AG62" i="40" s="1"/>
  <c r="Z58" i="40"/>
  <c r="AA14" i="40"/>
  <c r="AK24" i="40"/>
  <c r="AP24" i="40" s="1"/>
  <c r="AQ24" i="40" s="1"/>
  <c r="AN24" i="40"/>
  <c r="AO24" i="40" s="1"/>
  <c r="AK31" i="40"/>
  <c r="AP31" i="40" s="1"/>
  <c r="AQ31" i="40" s="1"/>
  <c r="AN31" i="40"/>
  <c r="AO31" i="40" s="1"/>
  <c r="AK20" i="40"/>
  <c r="AP20" i="40" s="1"/>
  <c r="AQ20" i="40" s="1"/>
  <c r="AN20" i="40"/>
  <c r="AO20" i="40" s="1"/>
  <c r="AK55" i="40"/>
  <c r="AP55" i="40" s="1"/>
  <c r="AQ55" i="40" s="1"/>
  <c r="AN55" i="40"/>
  <c r="AO55" i="40" s="1"/>
  <c r="AN35" i="40"/>
  <c r="AO35" i="40" s="1"/>
  <c r="AN25" i="40"/>
  <c r="AO25" i="40" s="1"/>
  <c r="AN43" i="40"/>
  <c r="AO43" i="40" s="1"/>
  <c r="AN50" i="40"/>
  <c r="AO50" i="40" s="1"/>
  <c r="Q64" i="40"/>
  <c r="Q65" i="40" s="1"/>
  <c r="AK51" i="40"/>
  <c r="AP51" i="40" s="1"/>
  <c r="AQ51" i="40" s="1"/>
  <c r="AN51" i="40"/>
  <c r="AO51" i="40" s="1"/>
  <c r="Q61" i="40"/>
  <c r="Q62" i="40" s="1"/>
  <c r="D34" i="32"/>
  <c r="G41" i="32"/>
  <c r="F40" i="32"/>
  <c r="O37" i="32"/>
  <c r="N37" i="32"/>
  <c r="M37" i="32"/>
  <c r="L37" i="32"/>
  <c r="K37" i="32"/>
  <c r="AC36" i="32"/>
  <c r="AB36" i="32"/>
  <c r="AD36" i="32" s="1"/>
  <c r="Q36" i="32"/>
  <c r="P36" i="32"/>
  <c r="H36" i="32"/>
  <c r="I36" i="32" s="1"/>
  <c r="AC35" i="32"/>
  <c r="AB35" i="32"/>
  <c r="AD35" i="32" s="1"/>
  <c r="Q35" i="32"/>
  <c r="P35" i="32"/>
  <c r="H35" i="32"/>
  <c r="I35" i="32" s="1"/>
  <c r="AC34" i="32"/>
  <c r="AB34" i="32"/>
  <c r="AD34" i="32" s="1"/>
  <c r="Q34" i="32"/>
  <c r="P34" i="32"/>
  <c r="H34" i="32"/>
  <c r="I34" i="32" s="1"/>
  <c r="AC33" i="32"/>
  <c r="AB33" i="32"/>
  <c r="AD33" i="32" s="1"/>
  <c r="Q33" i="32"/>
  <c r="P33" i="32"/>
  <c r="I33" i="32"/>
  <c r="H33" i="32"/>
  <c r="AC32" i="32"/>
  <c r="AB32" i="32"/>
  <c r="AD32" i="32" s="1"/>
  <c r="Q32" i="32"/>
  <c r="P32" i="32"/>
  <c r="H32" i="32"/>
  <c r="I32" i="32" s="1"/>
  <c r="AC31" i="32"/>
  <c r="AB31" i="32"/>
  <c r="AD31" i="32" s="1"/>
  <c r="Q31" i="32"/>
  <c r="P31" i="32"/>
  <c r="I31" i="32"/>
  <c r="H31" i="32"/>
  <c r="AC30" i="32"/>
  <c r="AB30" i="32"/>
  <c r="AD30" i="32" s="1"/>
  <c r="Q30" i="32"/>
  <c r="P30" i="32"/>
  <c r="H30" i="32"/>
  <c r="I30" i="32" s="1"/>
  <c r="AC29" i="32"/>
  <c r="AB29" i="32"/>
  <c r="AD29" i="32" s="1"/>
  <c r="Q29" i="32"/>
  <c r="P29" i="32"/>
  <c r="H29" i="32"/>
  <c r="I29" i="32" s="1"/>
  <c r="AC28" i="32"/>
  <c r="AB28" i="32"/>
  <c r="AD28" i="32" s="1"/>
  <c r="Q28" i="32"/>
  <c r="Y28" i="32" s="1"/>
  <c r="P28" i="32"/>
  <c r="H28" i="32"/>
  <c r="I28" i="32" s="1"/>
  <c r="AC27" i="32"/>
  <c r="AB27" i="32"/>
  <c r="AD27" i="32" s="1"/>
  <c r="Q27" i="32"/>
  <c r="P27" i="32"/>
  <c r="H27" i="32"/>
  <c r="I27" i="32" s="1"/>
  <c r="AC26" i="32"/>
  <c r="AB26" i="32"/>
  <c r="AD26" i="32" s="1"/>
  <c r="Q26" i="32"/>
  <c r="Y26" i="32" s="1"/>
  <c r="P26" i="32"/>
  <c r="I26" i="32"/>
  <c r="H26" i="32"/>
  <c r="AC25" i="32"/>
  <c r="AB25" i="32"/>
  <c r="AD25" i="32" s="1"/>
  <c r="Q25" i="32"/>
  <c r="P25" i="32"/>
  <c r="H25" i="32"/>
  <c r="I25" i="32" s="1"/>
  <c r="AC24" i="32"/>
  <c r="AB24" i="32"/>
  <c r="AD24" i="32" s="1"/>
  <c r="Q24" i="32"/>
  <c r="P24" i="32"/>
  <c r="H24" i="32"/>
  <c r="I24" i="32" s="1"/>
  <c r="AC23" i="32"/>
  <c r="AB23" i="32"/>
  <c r="AD23" i="32" s="1"/>
  <c r="Q23" i="32"/>
  <c r="P23" i="32"/>
  <c r="H23" i="32"/>
  <c r="I23" i="32" s="1"/>
  <c r="AC22" i="32"/>
  <c r="AB22" i="32"/>
  <c r="AD22" i="32" s="1"/>
  <c r="Q22" i="32"/>
  <c r="P22" i="32"/>
  <c r="H22" i="32"/>
  <c r="I22" i="32" s="1"/>
  <c r="S20" i="32"/>
  <c r="H20" i="32"/>
  <c r="I20" i="32" s="1"/>
  <c r="AM20" i="32" s="1"/>
  <c r="AH19" i="32"/>
  <c r="AG19" i="32"/>
  <c r="AC19" i="32"/>
  <c r="AJ19" i="32" s="1"/>
  <c r="AB19" i="32"/>
  <c r="AD19" i="32" s="1"/>
  <c r="AK19" i="32" s="1"/>
  <c r="R19" i="32"/>
  <c r="X19" i="32" s="1"/>
  <c r="Q19" i="32"/>
  <c r="P19" i="32"/>
  <c r="H19" i="32"/>
  <c r="I19" i="32" s="1"/>
  <c r="AG18" i="32"/>
  <c r="AC18" i="32"/>
  <c r="AJ18" i="32" s="1"/>
  <c r="AB18" i="32"/>
  <c r="AH18" i="32" s="1"/>
  <c r="R18" i="32"/>
  <c r="V18" i="32" s="1"/>
  <c r="Q18" i="32"/>
  <c r="P18" i="32"/>
  <c r="H18" i="32"/>
  <c r="I18" i="32" s="1"/>
  <c r="AG17" i="32"/>
  <c r="AC17" i="32"/>
  <c r="AJ17" i="32" s="1"/>
  <c r="AB17" i="32"/>
  <c r="AH17" i="32" s="1"/>
  <c r="R17" i="32"/>
  <c r="X17" i="32" s="1"/>
  <c r="Q17" i="32"/>
  <c r="P17" i="32"/>
  <c r="H17" i="32"/>
  <c r="I17" i="32" s="1"/>
  <c r="AG16" i="32"/>
  <c r="AC16" i="32"/>
  <c r="AJ16" i="32" s="1"/>
  <c r="AB16" i="32"/>
  <c r="AD16" i="32" s="1"/>
  <c r="AK16" i="32" s="1"/>
  <c r="R16" i="32"/>
  <c r="X16" i="32" s="1"/>
  <c r="Q16" i="32"/>
  <c r="P16" i="32"/>
  <c r="H16" i="32"/>
  <c r="I16" i="32" s="1"/>
  <c r="AG15" i="32"/>
  <c r="AC15" i="32"/>
  <c r="AJ15" i="32" s="1"/>
  <c r="AB15" i="32"/>
  <c r="AD15" i="32" s="1"/>
  <c r="AK15" i="32" s="1"/>
  <c r="R15" i="32"/>
  <c r="X15" i="32" s="1"/>
  <c r="Q15" i="32"/>
  <c r="P15" i="32"/>
  <c r="H15" i="32"/>
  <c r="I15" i="32" s="1"/>
  <c r="AG14" i="32"/>
  <c r="AC14" i="32"/>
  <c r="AB14" i="32"/>
  <c r="AD14" i="32" s="1"/>
  <c r="AK14" i="32" s="1"/>
  <c r="R14" i="32"/>
  <c r="X14" i="32" s="1"/>
  <c r="Q14" i="32"/>
  <c r="P14" i="32"/>
  <c r="H14" i="32"/>
  <c r="I14" i="32" s="1"/>
  <c r="AG13" i="32"/>
  <c r="AC13" i="32"/>
  <c r="AJ13" i="32" s="1"/>
  <c r="AB13" i="32"/>
  <c r="AH13" i="32" s="1"/>
  <c r="R13" i="32"/>
  <c r="X13" i="32" s="1"/>
  <c r="Q13" i="32"/>
  <c r="P13" i="32"/>
  <c r="H13" i="32"/>
  <c r="I13" i="32" s="1"/>
  <c r="AG12" i="32"/>
  <c r="AC12" i="32"/>
  <c r="AJ12" i="32" s="1"/>
  <c r="AB12" i="32"/>
  <c r="AD12" i="32" s="1"/>
  <c r="AK12" i="32" s="1"/>
  <c r="R12" i="32"/>
  <c r="X12" i="32" s="1"/>
  <c r="Q12" i="32"/>
  <c r="P12" i="32"/>
  <c r="H12" i="32"/>
  <c r="I12" i="32" s="1"/>
  <c r="AG11" i="32"/>
  <c r="AC11" i="32"/>
  <c r="AJ11" i="32" s="1"/>
  <c r="AB11" i="32"/>
  <c r="AD11" i="32" s="1"/>
  <c r="AK11" i="32" s="1"/>
  <c r="R11" i="32"/>
  <c r="X11" i="32" s="1"/>
  <c r="Q11" i="32"/>
  <c r="P11" i="32"/>
  <c r="H11" i="32"/>
  <c r="I11" i="32" s="1"/>
  <c r="AG10" i="32"/>
  <c r="AC10" i="32"/>
  <c r="AJ10" i="32" s="1"/>
  <c r="AB10" i="32"/>
  <c r="AD10" i="32" s="1"/>
  <c r="AK10" i="32" s="1"/>
  <c r="R10" i="32"/>
  <c r="X10" i="32" s="1"/>
  <c r="Q10" i="32"/>
  <c r="P10" i="32"/>
  <c r="H10" i="32"/>
  <c r="I10" i="32" s="1"/>
  <c r="AG9" i="32"/>
  <c r="AC9" i="32"/>
  <c r="AJ9" i="32" s="1"/>
  <c r="AB9" i="32"/>
  <c r="AD9" i="32" s="1"/>
  <c r="AK9" i="32" s="1"/>
  <c r="R9" i="32"/>
  <c r="X9" i="32" s="1"/>
  <c r="Q9" i="32"/>
  <c r="P9" i="32"/>
  <c r="H9" i="32"/>
  <c r="I9" i="32" s="1"/>
  <c r="AG8" i="32"/>
  <c r="AC8" i="32"/>
  <c r="AJ8" i="32" s="1"/>
  <c r="AB8" i="32"/>
  <c r="AD8" i="32" s="1"/>
  <c r="AK8" i="32" s="1"/>
  <c r="R8" i="32"/>
  <c r="X8" i="32" s="1"/>
  <c r="Q8" i="32"/>
  <c r="P8" i="32"/>
  <c r="H8" i="32"/>
  <c r="I8" i="32" s="1"/>
  <c r="D63" i="27"/>
  <c r="E63" i="27" s="1"/>
  <c r="E90" i="33" s="1"/>
  <c r="W10" i="32" l="1"/>
  <c r="Y33" i="32"/>
  <c r="S18" i="32"/>
  <c r="Y35" i="32"/>
  <c r="AH14" i="32"/>
  <c r="Y27" i="32"/>
  <c r="Y34" i="32"/>
  <c r="I37" i="32"/>
  <c r="S19" i="32"/>
  <c r="S14" i="32"/>
  <c r="W19" i="32"/>
  <c r="Y25" i="32"/>
  <c r="Y32" i="32"/>
  <c r="AH10" i="32"/>
  <c r="W14" i="32"/>
  <c r="Y24" i="32"/>
  <c r="Y31" i="32"/>
  <c r="Y30" i="32"/>
  <c r="Y23" i="32"/>
  <c r="S10" i="32"/>
  <c r="Y22" i="32"/>
  <c r="Y29" i="32"/>
  <c r="Y36" i="32"/>
  <c r="AK58" i="40"/>
  <c r="AA58" i="40"/>
  <c r="AP14" i="40"/>
  <c r="AN14" i="40"/>
  <c r="AK61" i="40"/>
  <c r="AK62" i="40" s="1"/>
  <c r="U8" i="32"/>
  <c r="U12" i="32"/>
  <c r="U16" i="32"/>
  <c r="S8" i="32"/>
  <c r="W8" i="32"/>
  <c r="AH8" i="32"/>
  <c r="U10" i="32"/>
  <c r="S12" i="32"/>
  <c r="W12" i="32"/>
  <c r="AH12" i="32"/>
  <c r="U14" i="32"/>
  <c r="S16" i="32"/>
  <c r="W16" i="32"/>
  <c r="AH16" i="32"/>
  <c r="U19" i="32"/>
  <c r="G42" i="32"/>
  <c r="C51" i="32"/>
  <c r="D35" i="32"/>
  <c r="D51" i="32" s="1"/>
  <c r="E90" i="34" s="1"/>
  <c r="AE14" i="32"/>
  <c r="AI14" i="32" s="1"/>
  <c r="T9" i="32"/>
  <c r="T11" i="32"/>
  <c r="V11" i="32"/>
  <c r="AE12" i="32"/>
  <c r="AI12" i="32" s="1"/>
  <c r="T13" i="32"/>
  <c r="AD13" i="32"/>
  <c r="AK13" i="32" s="1"/>
  <c r="AJ14" i="32"/>
  <c r="AE47" i="32" s="1"/>
  <c r="T15" i="32"/>
  <c r="V15" i="32"/>
  <c r="AE16" i="32"/>
  <c r="AI16" i="32" s="1"/>
  <c r="T17" i="32"/>
  <c r="AD17" i="32"/>
  <c r="AK17" i="32" s="1"/>
  <c r="AD18" i="32"/>
  <c r="AK18" i="32" s="1"/>
  <c r="P37" i="32"/>
  <c r="T8" i="32"/>
  <c r="V8" i="32"/>
  <c r="AE44" i="32"/>
  <c r="AG37" i="32"/>
  <c r="S9" i="32"/>
  <c r="Y9" i="32" s="1"/>
  <c r="AL9" i="32" s="1"/>
  <c r="AM9" i="32" s="1"/>
  <c r="U9" i="32"/>
  <c r="W9" i="32"/>
  <c r="AE9" i="32"/>
  <c r="AI9" i="32" s="1"/>
  <c r="AH9" i="32"/>
  <c r="T10" i="32"/>
  <c r="Y10" i="32" s="1"/>
  <c r="V10" i="32"/>
  <c r="S11" i="32"/>
  <c r="U11" i="32"/>
  <c r="W11" i="32"/>
  <c r="AE11" i="32"/>
  <c r="AI11" i="32" s="1"/>
  <c r="AH11" i="32"/>
  <c r="T12" i="32"/>
  <c r="Y12" i="32" s="1"/>
  <c r="AL12" i="32" s="1"/>
  <c r="AM12" i="32" s="1"/>
  <c r="V12" i="32"/>
  <c r="S13" i="32"/>
  <c r="Y13" i="32" s="1"/>
  <c r="U13" i="32"/>
  <c r="W13" i="32"/>
  <c r="T14" i="32"/>
  <c r="V14" i="32"/>
  <c r="S15" i="32"/>
  <c r="Y15" i="32" s="1"/>
  <c r="U15" i="32"/>
  <c r="W15" i="32"/>
  <c r="AE15" i="32"/>
  <c r="AI15" i="32" s="1"/>
  <c r="AH15" i="32"/>
  <c r="T16" i="32"/>
  <c r="V16" i="32"/>
  <c r="S17" i="32"/>
  <c r="U17" i="32"/>
  <c r="W17" i="32"/>
  <c r="W18" i="32"/>
  <c r="U18" i="32"/>
  <c r="T18" i="32"/>
  <c r="Y18" i="32" s="1"/>
  <c r="X18" i="32"/>
  <c r="X37" i="32" s="1"/>
  <c r="AE23" i="32"/>
  <c r="AI23" i="32" s="1"/>
  <c r="AL23" i="32" s="1"/>
  <c r="AM23" i="32" s="1"/>
  <c r="AE25" i="32"/>
  <c r="AI25" i="32" s="1"/>
  <c r="AL25" i="32" s="1"/>
  <c r="AM25" i="32" s="1"/>
  <c r="AE27" i="32"/>
  <c r="AI27" i="32" s="1"/>
  <c r="AL27" i="32" s="1"/>
  <c r="AM27" i="32" s="1"/>
  <c r="AE29" i="32"/>
  <c r="AI29" i="32" s="1"/>
  <c r="AL29" i="32" s="1"/>
  <c r="AM29" i="32" s="1"/>
  <c r="AE31" i="32"/>
  <c r="AI31" i="32" s="1"/>
  <c r="AL31" i="32" s="1"/>
  <c r="AM31" i="32" s="1"/>
  <c r="AL33" i="32"/>
  <c r="AM33" i="32" s="1"/>
  <c r="AE33" i="32"/>
  <c r="AI33" i="32" s="1"/>
  <c r="AE35" i="32"/>
  <c r="AI35" i="32" s="1"/>
  <c r="AL35" i="32" s="1"/>
  <c r="AM35" i="32" s="1"/>
  <c r="Q37" i="32"/>
  <c r="AE8" i="32"/>
  <c r="V9" i="32"/>
  <c r="AE10" i="32"/>
  <c r="AI10" i="32" s="1"/>
  <c r="V13" i="32"/>
  <c r="V17" i="32"/>
  <c r="AE19" i="32"/>
  <c r="AI19" i="32" s="1"/>
  <c r="AE22" i="32"/>
  <c r="AI22" i="32" s="1"/>
  <c r="AL22" i="32" s="1"/>
  <c r="AM22" i="32" s="1"/>
  <c r="AE24" i="32"/>
  <c r="AI24" i="32" s="1"/>
  <c r="AL24" i="32" s="1"/>
  <c r="AM24" i="32" s="1"/>
  <c r="AE26" i="32"/>
  <c r="AI26" i="32" s="1"/>
  <c r="AL26" i="32" s="1"/>
  <c r="AM26" i="32" s="1"/>
  <c r="AE28" i="32"/>
  <c r="AI28" i="32" s="1"/>
  <c r="AL28" i="32" s="1"/>
  <c r="AM28" i="32" s="1"/>
  <c r="AE30" i="32"/>
  <c r="AI30" i="32" s="1"/>
  <c r="AL30" i="32" s="1"/>
  <c r="AM30" i="32" s="1"/>
  <c r="AE32" i="32"/>
  <c r="AI32" i="32" s="1"/>
  <c r="AL32" i="32" s="1"/>
  <c r="AM32" i="32" s="1"/>
  <c r="AE34" i="32"/>
  <c r="AI34" i="32" s="1"/>
  <c r="AL34" i="32" s="1"/>
  <c r="AM34" i="32" s="1"/>
  <c r="AE36" i="32"/>
  <c r="AI36" i="32" s="1"/>
  <c r="AL36" i="32" s="1"/>
  <c r="AM36" i="32" s="1"/>
  <c r="AE18" i="32"/>
  <c r="AI18" i="32" s="1"/>
  <c r="T19" i="32"/>
  <c r="Y19" i="32" s="1"/>
  <c r="V19" i="32"/>
  <c r="P51" i="32" l="1"/>
  <c r="Y8" i="32"/>
  <c r="P47" i="32"/>
  <c r="Y11" i="32"/>
  <c r="AL15" i="32"/>
  <c r="AM15" i="32" s="1"/>
  <c r="C50" i="32"/>
  <c r="D50" i="32" s="1"/>
  <c r="E13" i="34" s="1"/>
  <c r="Y14" i="32"/>
  <c r="AL14" i="32" s="1"/>
  <c r="AM14" i="32" s="1"/>
  <c r="AE13" i="32"/>
  <c r="AI13" i="32" s="1"/>
  <c r="AL13" i="32" s="1"/>
  <c r="AM13" i="32" s="1"/>
  <c r="AN58" i="40"/>
  <c r="AO14" i="40"/>
  <c r="AO58" i="40" s="1"/>
  <c r="AP58" i="40"/>
  <c r="AQ14" i="40"/>
  <c r="AQ58" i="40" s="1"/>
  <c r="AL18" i="32"/>
  <c r="AM18" i="32" s="1"/>
  <c r="AL19" i="32"/>
  <c r="AM19" i="32" s="1"/>
  <c r="P50" i="32"/>
  <c r="Y17" i="32"/>
  <c r="Y16" i="32"/>
  <c r="AL16" i="32" s="1"/>
  <c r="AM16" i="32" s="1"/>
  <c r="AH37" i="32"/>
  <c r="W37" i="32"/>
  <c r="AL11" i="32"/>
  <c r="AM11" i="32" s="1"/>
  <c r="AL10" i="32"/>
  <c r="AM10" i="32" s="1"/>
  <c r="U37" i="32"/>
  <c r="AE48" i="32"/>
  <c r="AJ37" i="32"/>
  <c r="S37" i="32"/>
  <c r="AE45" i="32"/>
  <c r="AE17" i="32"/>
  <c r="AI17" i="32" s="1"/>
  <c r="T37" i="32"/>
  <c r="Q43" i="32" s="1"/>
  <c r="Q44" i="32" s="1"/>
  <c r="AK37" i="32"/>
  <c r="P48" i="32"/>
  <c r="AI8" i="32"/>
  <c r="V37" i="32"/>
  <c r="AL8" i="32"/>
  <c r="P52" i="32"/>
  <c r="P53" i="32" s="1"/>
  <c r="Y37" i="32" l="1"/>
  <c r="AE37" i="32"/>
  <c r="AE40" i="32" s="1"/>
  <c r="AE41" i="32" s="1"/>
  <c r="AL17" i="32"/>
  <c r="AM17" i="32" s="1"/>
  <c r="AL37" i="32"/>
  <c r="AM8" i="32"/>
  <c r="AM37" i="32" s="1"/>
  <c r="AI40" i="32"/>
  <c r="AI41" i="32" s="1"/>
  <c r="AI37" i="32"/>
  <c r="O40" i="32"/>
  <c r="O41" i="32" s="1"/>
  <c r="M37" i="27" l="1"/>
  <c r="L37" i="27"/>
  <c r="AG9" i="27" l="1"/>
  <c r="AG10" i="27"/>
  <c r="AG11" i="27"/>
  <c r="AG12" i="27"/>
  <c r="AG13" i="27"/>
  <c r="AG14" i="27"/>
  <c r="AG15" i="27"/>
  <c r="AG16" i="27"/>
  <c r="AG17" i="27"/>
  <c r="AG18" i="27"/>
  <c r="AG19" i="27"/>
  <c r="AG8" i="27"/>
  <c r="AG37" i="27" l="1"/>
  <c r="AE44" i="27"/>
  <c r="G41" i="27" l="1"/>
  <c r="F40" i="27"/>
  <c r="K37" i="27"/>
  <c r="AC36" i="27"/>
  <c r="AB36" i="27"/>
  <c r="AD36" i="27" s="1"/>
  <c r="Q36" i="27"/>
  <c r="P36" i="27"/>
  <c r="H36" i="27"/>
  <c r="I36" i="27" s="1"/>
  <c r="AC35" i="27"/>
  <c r="AB35" i="27"/>
  <c r="AD35" i="27" s="1"/>
  <c r="Q35" i="27"/>
  <c r="P35" i="27"/>
  <c r="H35" i="27"/>
  <c r="I35" i="27" s="1"/>
  <c r="AC34" i="27"/>
  <c r="AE34" i="27" s="1"/>
  <c r="AI34" i="27" s="1"/>
  <c r="AB34" i="27"/>
  <c r="AD34" i="27" s="1"/>
  <c r="Q34" i="27"/>
  <c r="P34" i="27"/>
  <c r="H34" i="27"/>
  <c r="I34" i="27" s="1"/>
  <c r="AC33" i="27"/>
  <c r="AB33" i="27"/>
  <c r="AD33" i="27" s="1"/>
  <c r="Q33" i="27"/>
  <c r="P33" i="27"/>
  <c r="H33" i="27"/>
  <c r="I33" i="27" s="1"/>
  <c r="AC32" i="27"/>
  <c r="AB32" i="27"/>
  <c r="AD32" i="27" s="1"/>
  <c r="Q32" i="27"/>
  <c r="P32" i="27"/>
  <c r="H32" i="27"/>
  <c r="I32" i="27" s="1"/>
  <c r="AC31" i="27"/>
  <c r="AB31" i="27"/>
  <c r="AD31" i="27" s="1"/>
  <c r="Q31" i="27"/>
  <c r="P31" i="27"/>
  <c r="Y31" i="27" s="1"/>
  <c r="H31" i="27"/>
  <c r="I31" i="27" s="1"/>
  <c r="AC30" i="27"/>
  <c r="AB30" i="27"/>
  <c r="AD30" i="27" s="1"/>
  <c r="Q30" i="27"/>
  <c r="P30" i="27"/>
  <c r="H30" i="27"/>
  <c r="I30" i="27" s="1"/>
  <c r="AC29" i="27"/>
  <c r="AB29" i="27"/>
  <c r="AD29" i="27" s="1"/>
  <c r="Q29" i="27"/>
  <c r="P29" i="27"/>
  <c r="H29" i="27"/>
  <c r="I29" i="27" s="1"/>
  <c r="AC28" i="27"/>
  <c r="AB28" i="27"/>
  <c r="AD28" i="27" s="1"/>
  <c r="Q28" i="27"/>
  <c r="P28" i="27"/>
  <c r="H28" i="27"/>
  <c r="I28" i="27" s="1"/>
  <c r="AC27" i="27"/>
  <c r="AB27" i="27"/>
  <c r="AD27" i="27" s="1"/>
  <c r="Q27" i="27"/>
  <c r="P27" i="27"/>
  <c r="Y27" i="27" s="1"/>
  <c r="H27" i="27"/>
  <c r="I27" i="27" s="1"/>
  <c r="AC26" i="27"/>
  <c r="AB26" i="27"/>
  <c r="AD26" i="27" s="1"/>
  <c r="Q26" i="27"/>
  <c r="P26" i="27"/>
  <c r="H26" i="27"/>
  <c r="I26" i="27" s="1"/>
  <c r="AC25" i="27"/>
  <c r="AB25" i="27"/>
  <c r="AD25" i="27" s="1"/>
  <c r="Q25" i="27"/>
  <c r="P25" i="27"/>
  <c r="H25" i="27"/>
  <c r="I25" i="27" s="1"/>
  <c r="AC24" i="27"/>
  <c r="AB24" i="27"/>
  <c r="AD24" i="27" s="1"/>
  <c r="Q24" i="27"/>
  <c r="P24" i="27"/>
  <c r="H24" i="27"/>
  <c r="I24" i="27" s="1"/>
  <c r="AC23" i="27"/>
  <c r="AB23" i="27"/>
  <c r="AD23" i="27" s="1"/>
  <c r="Q23" i="27"/>
  <c r="P23" i="27"/>
  <c r="H23" i="27"/>
  <c r="I23" i="27" s="1"/>
  <c r="AC22" i="27"/>
  <c r="AB22" i="27"/>
  <c r="AD22" i="27" s="1"/>
  <c r="Q22" i="27"/>
  <c r="P22" i="27"/>
  <c r="H22" i="27"/>
  <c r="I22" i="27" s="1"/>
  <c r="S20" i="27"/>
  <c r="H20" i="27"/>
  <c r="I20" i="27" s="1"/>
  <c r="AM20" i="27" s="1"/>
  <c r="AC19" i="27"/>
  <c r="AB19" i="27"/>
  <c r="R19" i="27"/>
  <c r="Q19" i="27"/>
  <c r="P19" i="27"/>
  <c r="H19" i="27"/>
  <c r="I19" i="27" s="1"/>
  <c r="AC18" i="27"/>
  <c r="AB18" i="27"/>
  <c r="R18" i="27"/>
  <c r="Q18" i="27"/>
  <c r="P18" i="27"/>
  <c r="H18" i="27"/>
  <c r="I18" i="27" s="1"/>
  <c r="AC17" i="27"/>
  <c r="AB17" i="27"/>
  <c r="R17" i="27"/>
  <c r="Q17" i="27"/>
  <c r="P17" i="27"/>
  <c r="H17" i="27"/>
  <c r="I17" i="27" s="1"/>
  <c r="AC16" i="27"/>
  <c r="AJ16" i="27" s="1"/>
  <c r="AB16" i="27"/>
  <c r="R16" i="27"/>
  <c r="S16" i="27" s="1"/>
  <c r="Q16" i="27"/>
  <c r="P16" i="27"/>
  <c r="H16" i="27"/>
  <c r="I16" i="27" s="1"/>
  <c r="AC15" i="27"/>
  <c r="AJ15" i="27" s="1"/>
  <c r="AB15" i="27"/>
  <c r="R15" i="27"/>
  <c r="Q15" i="27"/>
  <c r="P15" i="27"/>
  <c r="H15" i="27"/>
  <c r="I15" i="27" s="1"/>
  <c r="AC14" i="27"/>
  <c r="AJ14" i="27" s="1"/>
  <c r="AB14" i="27"/>
  <c r="R14" i="27"/>
  <c r="S14" i="27" s="1"/>
  <c r="Q14" i="27"/>
  <c r="P14" i="27"/>
  <c r="H14" i="27"/>
  <c r="I14" i="27" s="1"/>
  <c r="AC13" i="27"/>
  <c r="AJ13" i="27" s="1"/>
  <c r="AB13" i="27"/>
  <c r="R13" i="27"/>
  <c r="Q13" i="27"/>
  <c r="P13" i="27"/>
  <c r="H13" i="27"/>
  <c r="I13" i="27" s="1"/>
  <c r="AC12" i="27"/>
  <c r="AJ12" i="27" s="1"/>
  <c r="AB12" i="27"/>
  <c r="R12" i="27"/>
  <c r="S12" i="27" s="1"/>
  <c r="Q12" i="27"/>
  <c r="P12" i="27"/>
  <c r="H12" i="27"/>
  <c r="I12" i="27" s="1"/>
  <c r="AC11" i="27"/>
  <c r="AJ11" i="27" s="1"/>
  <c r="AB11" i="27"/>
  <c r="R11" i="27"/>
  <c r="Q11" i="27"/>
  <c r="P11" i="27"/>
  <c r="H11" i="27"/>
  <c r="I11" i="27" s="1"/>
  <c r="AC10" i="27"/>
  <c r="AJ10" i="27" s="1"/>
  <c r="AB10" i="27"/>
  <c r="R10" i="27"/>
  <c r="Q10" i="27"/>
  <c r="P10" i="27"/>
  <c r="H10" i="27"/>
  <c r="I10" i="27" s="1"/>
  <c r="AC9" i="27"/>
  <c r="AJ9" i="27" s="1"/>
  <c r="AB9" i="27"/>
  <c r="R9" i="27"/>
  <c r="Q9" i="27"/>
  <c r="P9" i="27"/>
  <c r="H9" i="27"/>
  <c r="I9" i="27" s="1"/>
  <c r="AC8" i="27"/>
  <c r="AJ8" i="27" s="1"/>
  <c r="AB8" i="27"/>
  <c r="R8" i="27"/>
  <c r="Q8" i="27"/>
  <c r="P8" i="27"/>
  <c r="H8" i="27"/>
  <c r="I8" i="27" s="1"/>
  <c r="Y25" i="27" l="1"/>
  <c r="AE30" i="27"/>
  <c r="AI30" i="27" s="1"/>
  <c r="Y36" i="27"/>
  <c r="Y23" i="27"/>
  <c r="Y29" i="27"/>
  <c r="AE26" i="27"/>
  <c r="AI26" i="27" s="1"/>
  <c r="AE22" i="27"/>
  <c r="AI22" i="27" s="1"/>
  <c r="AE36" i="27"/>
  <c r="AI36" i="27" s="1"/>
  <c r="AE32" i="27"/>
  <c r="AI32" i="27" s="1"/>
  <c r="AE28" i="27"/>
  <c r="AI28" i="27" s="1"/>
  <c r="Y34" i="27"/>
  <c r="AL34" i="27" s="1"/>
  <c r="AM34" i="27" s="1"/>
  <c r="P37" i="27"/>
  <c r="AE24" i="27"/>
  <c r="AI24" i="27" s="1"/>
  <c r="T8" i="27"/>
  <c r="V8" i="27"/>
  <c r="U8" i="27"/>
  <c r="X8" i="27"/>
  <c r="W8" i="27"/>
  <c r="S9" i="27"/>
  <c r="V9" i="27"/>
  <c r="U9" i="27"/>
  <c r="X9" i="27"/>
  <c r="W9" i="27"/>
  <c r="T10" i="27"/>
  <c r="V10" i="27"/>
  <c r="U10" i="27"/>
  <c r="X10" i="27"/>
  <c r="W10" i="27"/>
  <c r="S11" i="27"/>
  <c r="V11" i="27"/>
  <c r="U11" i="27"/>
  <c r="X11" i="27"/>
  <c r="W11" i="27"/>
  <c r="S13" i="27"/>
  <c r="V13" i="27"/>
  <c r="U13" i="27"/>
  <c r="X13" i="27"/>
  <c r="W13" i="27"/>
  <c r="S15" i="27"/>
  <c r="V15" i="27"/>
  <c r="U15" i="27"/>
  <c r="X15" i="27"/>
  <c r="W15" i="27"/>
  <c r="S17" i="27"/>
  <c r="V17" i="27"/>
  <c r="U17" i="27"/>
  <c r="X17" i="27"/>
  <c r="W17" i="27"/>
  <c r="AJ17" i="27"/>
  <c r="T18" i="27"/>
  <c r="V18" i="27"/>
  <c r="U18" i="27"/>
  <c r="X18" i="27"/>
  <c r="W18" i="27"/>
  <c r="AJ18" i="27"/>
  <c r="S19" i="27"/>
  <c r="V19" i="27"/>
  <c r="U19" i="27"/>
  <c r="X19" i="27"/>
  <c r="W19" i="27"/>
  <c r="AJ19" i="27"/>
  <c r="I37" i="27"/>
  <c r="Q37" i="27"/>
  <c r="AD8" i="27"/>
  <c r="AK8" i="27" s="1"/>
  <c r="AH8" i="27"/>
  <c r="AD9" i="27"/>
  <c r="AK9" i="27" s="1"/>
  <c r="AH9" i="27"/>
  <c r="AD10" i="27"/>
  <c r="AK10" i="27" s="1"/>
  <c r="AH10" i="27"/>
  <c r="AD11" i="27"/>
  <c r="AK11" i="27" s="1"/>
  <c r="AH11" i="27"/>
  <c r="T12" i="27"/>
  <c r="Y12" i="27" s="1"/>
  <c r="V12" i="27"/>
  <c r="U12" i="27"/>
  <c r="X12" i="27"/>
  <c r="W12" i="27"/>
  <c r="AD12" i="27"/>
  <c r="AK12" i="27" s="1"/>
  <c r="AH12" i="27"/>
  <c r="AD13" i="27"/>
  <c r="AK13" i="27" s="1"/>
  <c r="AH13" i="27"/>
  <c r="T14" i="27"/>
  <c r="Y14" i="27" s="1"/>
  <c r="V14" i="27"/>
  <c r="U14" i="27"/>
  <c r="X14" i="27"/>
  <c r="W14" i="27"/>
  <c r="AD14" i="27"/>
  <c r="AK14" i="27" s="1"/>
  <c r="AH14" i="27"/>
  <c r="AD15" i="27"/>
  <c r="AK15" i="27" s="1"/>
  <c r="AH15" i="27"/>
  <c r="T16" i="27"/>
  <c r="Y16" i="27" s="1"/>
  <c r="V16" i="27"/>
  <c r="U16" i="27"/>
  <c r="X16" i="27"/>
  <c r="W16" i="27"/>
  <c r="AD16" i="27"/>
  <c r="AK16" i="27" s="1"/>
  <c r="AH16" i="27"/>
  <c r="AD17" i="27"/>
  <c r="AK17" i="27" s="1"/>
  <c r="AH17" i="27"/>
  <c r="AD18" i="27"/>
  <c r="AK18" i="27" s="1"/>
  <c r="AH18" i="27"/>
  <c r="AD19" i="27"/>
  <c r="AK19" i="27" s="1"/>
  <c r="AH19" i="27"/>
  <c r="Y22" i="27"/>
  <c r="AL22" i="27" s="1"/>
  <c r="AM22" i="27" s="1"/>
  <c r="Y24" i="27"/>
  <c r="AL24" i="27" s="1"/>
  <c r="AM24" i="27" s="1"/>
  <c r="Y26" i="27"/>
  <c r="AL26" i="27" s="1"/>
  <c r="AM26" i="27" s="1"/>
  <c r="Y28" i="27"/>
  <c r="AL28" i="27" s="1"/>
  <c r="AM28" i="27" s="1"/>
  <c r="Y30" i="27"/>
  <c r="AL30" i="27" s="1"/>
  <c r="AM30" i="27" s="1"/>
  <c r="Y32" i="27"/>
  <c r="AL32" i="27" s="1"/>
  <c r="AM32" i="27" s="1"/>
  <c r="Y33" i="27"/>
  <c r="Y35" i="27"/>
  <c r="AL35" i="27" s="1"/>
  <c r="AM35" i="27" s="1"/>
  <c r="G42" i="27"/>
  <c r="O37" i="27"/>
  <c r="N37" i="27"/>
  <c r="AE8" i="27"/>
  <c r="AE10" i="27"/>
  <c r="AI10" i="27" s="1"/>
  <c r="AE12" i="27"/>
  <c r="AI12" i="27" s="1"/>
  <c r="AE13" i="27"/>
  <c r="AI13" i="27" s="1"/>
  <c r="S8" i="27"/>
  <c r="T9" i="27"/>
  <c r="Y9" i="27" s="1"/>
  <c r="S10" i="27"/>
  <c r="Y10" i="27" s="1"/>
  <c r="T11" i="27"/>
  <c r="Y11" i="27" s="1"/>
  <c r="T13" i="27"/>
  <c r="T15" i="27"/>
  <c r="Y15" i="27" s="1"/>
  <c r="AE23" i="27"/>
  <c r="AI23" i="27" s="1"/>
  <c r="AL23" i="27" s="1"/>
  <c r="AM23" i="27" s="1"/>
  <c r="AE25" i="27"/>
  <c r="AI25" i="27" s="1"/>
  <c r="AL25" i="27" s="1"/>
  <c r="AM25" i="27" s="1"/>
  <c r="AE27" i="27"/>
  <c r="AI27" i="27" s="1"/>
  <c r="AL27" i="27" s="1"/>
  <c r="AM27" i="27" s="1"/>
  <c r="AE29" i="27"/>
  <c r="AI29" i="27" s="1"/>
  <c r="AL29" i="27" s="1"/>
  <c r="AM29" i="27" s="1"/>
  <c r="AE31" i="27"/>
  <c r="AI31" i="27" s="1"/>
  <c r="AL31" i="27" s="1"/>
  <c r="AM31" i="27" s="1"/>
  <c r="AE33" i="27"/>
  <c r="AI33" i="27" s="1"/>
  <c r="AE35" i="27"/>
  <c r="AI35" i="27" s="1"/>
  <c r="T17" i="27"/>
  <c r="S18" i="27"/>
  <c r="Y18" i="27" s="1"/>
  <c r="T19" i="27"/>
  <c r="Y19" i="27" s="1"/>
  <c r="AJ37" i="27" l="1"/>
  <c r="AL10" i="27"/>
  <c r="AM10" i="27" s="1"/>
  <c r="AL33" i="27"/>
  <c r="AM33" i="27" s="1"/>
  <c r="AE16" i="27"/>
  <c r="AI16" i="27" s="1"/>
  <c r="AL16" i="27" s="1"/>
  <c r="AM16" i="27" s="1"/>
  <c r="Y17" i="27"/>
  <c r="AL36" i="27"/>
  <c r="AM36" i="27" s="1"/>
  <c r="AL12" i="27"/>
  <c r="AM12" i="27" s="1"/>
  <c r="Y13" i="27"/>
  <c r="AL13" i="27" s="1"/>
  <c r="AM13" i="27" s="1"/>
  <c r="P52" i="27"/>
  <c r="AE14" i="27"/>
  <c r="AI14" i="27" s="1"/>
  <c r="AL14" i="27" s="1"/>
  <c r="AM14" i="27" s="1"/>
  <c r="AK37" i="27"/>
  <c r="AE48" i="27"/>
  <c r="AE19" i="27"/>
  <c r="AI19" i="27" s="1"/>
  <c r="AL19" i="27" s="1"/>
  <c r="AM19" i="27" s="1"/>
  <c r="AE47" i="27"/>
  <c r="W37" i="27"/>
  <c r="P47" i="27"/>
  <c r="U37" i="27"/>
  <c r="AE15" i="27"/>
  <c r="AI15" i="27" s="1"/>
  <c r="AL15" i="27" s="1"/>
  <c r="AM15" i="27" s="1"/>
  <c r="AE11" i="27"/>
  <c r="AI11" i="27" s="1"/>
  <c r="AL11" i="27" s="1"/>
  <c r="AM11" i="27" s="1"/>
  <c r="AE9" i="27"/>
  <c r="AI9" i="27" s="1"/>
  <c r="AH37" i="27"/>
  <c r="AE45" i="27"/>
  <c r="AE18" i="27"/>
  <c r="AI18" i="27" s="1"/>
  <c r="AL18" i="27" s="1"/>
  <c r="AM18" i="27" s="1"/>
  <c r="P51" i="27"/>
  <c r="AE17" i="27"/>
  <c r="AI17" i="27" s="1"/>
  <c r="AL17" i="27" s="1"/>
  <c r="AM17" i="27" s="1"/>
  <c r="X37" i="27"/>
  <c r="P48" i="27"/>
  <c r="V37" i="27"/>
  <c r="AL9" i="27"/>
  <c r="AM9" i="27" s="1"/>
  <c r="T37" i="27"/>
  <c r="Q43" i="27" s="1"/>
  <c r="Q44" i="27" s="1"/>
  <c r="S37" i="27"/>
  <c r="O40" i="27" s="1"/>
  <c r="O41" i="27" s="1"/>
  <c r="AI8" i="27"/>
  <c r="AL8" i="27" s="1"/>
  <c r="D60" i="27" l="1"/>
  <c r="P53" i="27"/>
  <c r="D59" i="27"/>
  <c r="E59" i="27" s="1"/>
  <c r="E60" i="27"/>
  <c r="D61" i="27"/>
  <c r="E61" i="27" s="1"/>
  <c r="E88" i="33" s="1"/>
  <c r="D62" i="27"/>
  <c r="E62" i="27" s="1"/>
  <c r="E89" i="33" s="1"/>
  <c r="D58" i="27"/>
  <c r="E58" i="27" s="1"/>
  <c r="E13" i="33" s="1"/>
  <c r="Y37" i="27"/>
  <c r="AE37" i="27"/>
  <c r="AE40" i="27" s="1"/>
  <c r="AE41" i="27" s="1"/>
  <c r="AL37" i="27"/>
  <c r="AM8" i="27"/>
  <c r="AM37" i="27" s="1"/>
  <c r="AI40" i="27"/>
  <c r="AI41" i="27" s="1"/>
  <c r="AI37" i="27"/>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s="1"/>
  <c r="AF18" i="34"/>
  <c r="AE18" i="34"/>
  <c r="AD18" i="34"/>
  <c r="AC18" i="34"/>
  <c r="AB18" i="34"/>
  <c r="AA18" i="34"/>
  <c r="AA26" i="34" s="1"/>
  <c r="Z18" i="34"/>
  <c r="Y18" i="34"/>
  <c r="Y26" i="34" s="1"/>
  <c r="X18" i="34"/>
  <c r="W18" i="34"/>
  <c r="V18" i="34"/>
  <c r="U18" i="34"/>
  <c r="T18" i="34"/>
  <c r="S18" i="34"/>
  <c r="S26" i="34" s="1"/>
  <c r="R18" i="34"/>
  <c r="Q18" i="34"/>
  <c r="P18" i="34"/>
  <c r="O18" i="34"/>
  <c r="N18" i="34"/>
  <c r="M18" i="34"/>
  <c r="L18" i="34"/>
  <c r="K18" i="34"/>
  <c r="K26" i="34" s="1"/>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N26" i="33" s="1"/>
  <c r="AN28" i="33" s="1"/>
  <c r="AM18" i="33"/>
  <c r="AL18" i="33"/>
  <c r="AK18" i="33"/>
  <c r="AJ18" i="33"/>
  <c r="AI18" i="33"/>
  <c r="AH18" i="33"/>
  <c r="AG18" i="33"/>
  <c r="AF18" i="33"/>
  <c r="AE18" i="33"/>
  <c r="AD18" i="33"/>
  <c r="AC18" i="33"/>
  <c r="AB18" i="33"/>
  <c r="AA18" i="33"/>
  <c r="Z18" i="33"/>
  <c r="Y18" i="33"/>
  <c r="X18" i="33"/>
  <c r="W18" i="33"/>
  <c r="V18" i="33"/>
  <c r="U18" i="33"/>
  <c r="T18" i="33"/>
  <c r="S18" i="33"/>
  <c r="R18" i="33"/>
  <c r="R26" i="33" s="1"/>
  <c r="Q18" i="33"/>
  <c r="P18" i="33"/>
  <c r="O18" i="33"/>
  <c r="N18" i="33"/>
  <c r="M18" i="33"/>
  <c r="L18" i="33"/>
  <c r="K18" i="33"/>
  <c r="J18" i="33"/>
  <c r="J26" i="33" s="1"/>
  <c r="I18" i="33"/>
  <c r="H18" i="33"/>
  <c r="G18" i="33"/>
  <c r="F18" i="33"/>
  <c r="E18" i="33"/>
  <c r="I5" i="20"/>
  <c r="F69" i="34" s="1"/>
  <c r="J5" i="20"/>
  <c r="G69" i="33" s="1"/>
  <c r="K5" i="20"/>
  <c r="H69" i="33" s="1"/>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E69" i="34" s="1"/>
  <c r="G11" i="20"/>
  <c r="G10" i="20"/>
  <c r="BB71" i="33" s="1"/>
  <c r="G9" i="20"/>
  <c r="G8" i="20"/>
  <c r="G7" i="20"/>
  <c r="G6" i="20"/>
  <c r="BB65" i="33" s="1"/>
  <c r="AP12" i="20"/>
  <c r="D34" i="20"/>
  <c r="H68" i="33" l="1"/>
  <c r="E68" i="33"/>
  <c r="F68" i="33"/>
  <c r="G68" i="33"/>
  <c r="E67" i="33"/>
  <c r="F67" i="33"/>
  <c r="G67" i="33"/>
  <c r="H67" i="33"/>
  <c r="AH26" i="33"/>
  <c r="AE26" i="33"/>
  <c r="AE28" i="33" s="1"/>
  <c r="AI26" i="34"/>
  <c r="AW26" i="34"/>
  <c r="I26" i="34"/>
  <c r="I28" i="34" s="1"/>
  <c r="AT65" i="33"/>
  <c r="AB26" i="33"/>
  <c r="AP26" i="33"/>
  <c r="P26" i="33"/>
  <c r="AQ26" i="34"/>
  <c r="O26" i="33"/>
  <c r="O28" i="33" s="1"/>
  <c r="AG40" i="33" s="1"/>
  <c r="J65" i="33"/>
  <c r="S69" i="33"/>
  <c r="F71" i="33"/>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AD69" i="33"/>
  <c r="AR69" i="33"/>
  <c r="N70" i="33"/>
  <c r="Z70" i="33"/>
  <c r="AN72" i="33"/>
  <c r="AN65" i="34"/>
  <c r="O67" i="34"/>
  <c r="AA67" i="34"/>
  <c r="AM67" i="34"/>
  <c r="AY67" i="34"/>
  <c r="I69" i="34"/>
  <c r="X70" i="34"/>
  <c r="AC72" i="34"/>
  <c r="AZ65" i="34"/>
  <c r="AX71" i="34"/>
  <c r="K71" i="34"/>
  <c r="E69" i="33"/>
  <c r="E26" i="33"/>
  <c r="E28" i="33" s="1"/>
  <c r="AU30" i="33" s="1"/>
  <c r="I26" i="33"/>
  <c r="I28" i="33" s="1"/>
  <c r="I29" i="33" s="1"/>
  <c r="Q26" i="33"/>
  <c r="Q28" i="33" s="1"/>
  <c r="S42" i="33" s="1"/>
  <c r="U26" i="33"/>
  <c r="AC26" i="33"/>
  <c r="AC28" i="33" s="1"/>
  <c r="AG26" i="33"/>
  <c r="AO26" i="33"/>
  <c r="AO28" i="33" s="1"/>
  <c r="AS26" i="33"/>
  <c r="AU26" i="33"/>
  <c r="AU28" i="33" s="1"/>
  <c r="AU29" i="33" s="1"/>
  <c r="AW26" i="33"/>
  <c r="AW28" i="33" s="1"/>
  <c r="AW29" i="33" s="1"/>
  <c r="N26" i="33"/>
  <c r="N28" i="33" s="1"/>
  <c r="AQ39" i="33" s="1"/>
  <c r="X26" i="33"/>
  <c r="X28"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P28" i="34" s="1"/>
  <c r="R26" i="34"/>
  <c r="T26" i="34"/>
  <c r="Q67" i="34"/>
  <c r="AC67" i="34"/>
  <c r="AO67" i="34"/>
  <c r="BA67" i="34"/>
  <c r="X71" i="34"/>
  <c r="AD26" i="34"/>
  <c r="AF26" i="34"/>
  <c r="AF28" i="34" s="1"/>
  <c r="AP26" i="34"/>
  <c r="AR26" i="34"/>
  <c r="AR28" i="34" s="1"/>
  <c r="AR29" i="34" s="1"/>
  <c r="AC26" i="34"/>
  <c r="O26" i="34"/>
  <c r="W26" i="34"/>
  <c r="AM26" i="34"/>
  <c r="AM28" i="34" s="1"/>
  <c r="AM29" i="34" s="1"/>
  <c r="AU26" i="34"/>
  <c r="X26" i="34"/>
  <c r="X28" i="34" s="1"/>
  <c r="AN26" i="34"/>
  <c r="AN28" i="34" s="1"/>
  <c r="AX39" i="33"/>
  <c r="G26" i="33"/>
  <c r="G28" i="33" s="1"/>
  <c r="AS32" i="33" s="1"/>
  <c r="BA69" i="34"/>
  <c r="BA69" i="33"/>
  <c r="AO69" i="34"/>
  <c r="AO69" i="33"/>
  <c r="AC69" i="34"/>
  <c r="AC69" i="33"/>
  <c r="Q69" i="34"/>
  <c r="Q69" i="33"/>
  <c r="AX56" i="33"/>
  <c r="AW56"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AE2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P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BB50" i="33" s="1"/>
  <c r="AG56" i="33"/>
  <c r="T65" i="33"/>
  <c r="AO65" i="33"/>
  <c r="AF68" i="33"/>
  <c r="J70" i="33"/>
  <c r="AT70" i="33"/>
  <c r="AF71" i="33"/>
  <c r="AB72" i="33"/>
  <c r="R65" i="34"/>
  <c r="AV68" i="34"/>
  <c r="AV69" i="34"/>
  <c r="AW70" i="34"/>
  <c r="BD72" i="34"/>
  <c r="AW69" i="33"/>
  <c r="T26" i="33"/>
  <c r="T28"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Q65" i="33"/>
  <c r="AH56"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R39" i="33"/>
  <c r="V65" i="33"/>
  <c r="AR65" i="33"/>
  <c r="AP68" i="33"/>
  <c r="O69" i="33"/>
  <c r="L70" i="33"/>
  <c r="AV70" i="33"/>
  <c r="AQ71" i="33"/>
  <c r="AM72" i="33"/>
  <c r="AC65" i="34"/>
  <c r="AX68" i="34"/>
  <c r="AY69" i="34"/>
  <c r="AY70" i="34"/>
  <c r="AZ71" i="34"/>
  <c r="AX69" i="34"/>
  <c r="AL69" i="34"/>
  <c r="Z69" i="34"/>
  <c r="N69" i="34"/>
  <c r="C9" i="33"/>
  <c r="V26" i="33"/>
  <c r="V28" i="33" s="1"/>
  <c r="V29" i="33" s="1"/>
  <c r="AT26" i="33"/>
  <c r="M67" i="33"/>
  <c r="Y67" i="33"/>
  <c r="AK67" i="33"/>
  <c r="AW67" i="33"/>
  <c r="J26" i="34"/>
  <c r="J28" i="34" s="1"/>
  <c r="J29" i="34" s="1"/>
  <c r="V26" i="34"/>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Z26" i="34"/>
  <c r="Z28" i="34" s="1"/>
  <c r="AL26" i="34"/>
  <c r="AL28" i="34" s="1"/>
  <c r="AL29" i="34" s="1"/>
  <c r="J67" i="34"/>
  <c r="V67" i="34"/>
  <c r="AH67" i="34"/>
  <c r="AT67" i="34"/>
  <c r="AM66" i="34"/>
  <c r="L26" i="33"/>
  <c r="L28" i="33" s="1"/>
  <c r="S37" i="33" s="1"/>
  <c r="AJ26" i="33"/>
  <c r="AJ28" i="33" s="1"/>
  <c r="AV26" i="33"/>
  <c r="AV28" i="33" s="1"/>
  <c r="R67" i="33"/>
  <c r="AD67" i="33"/>
  <c r="AP67" i="33"/>
  <c r="BB67" i="33"/>
  <c r="K67" i="34"/>
  <c r="W67" i="34"/>
  <c r="AI67" i="34"/>
  <c r="AU67" i="34"/>
  <c r="M26" i="33"/>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I67" i="33"/>
  <c r="U67" i="33"/>
  <c r="AG67" i="33"/>
  <c r="AS67" i="33"/>
  <c r="U26" i="34"/>
  <c r="AS26" i="34"/>
  <c r="N67" i="34"/>
  <c r="Z67" i="34"/>
  <c r="AL67" i="34"/>
  <c r="AX67" i="34"/>
  <c r="H69" i="34"/>
  <c r="U69" i="34"/>
  <c r="E26" i="34"/>
  <c r="E28" i="34" s="1"/>
  <c r="E29" i="34" s="1"/>
  <c r="G26" i="34"/>
  <c r="G28" i="34" s="1"/>
  <c r="C9" i="34"/>
  <c r="R28" i="34"/>
  <c r="R29" i="34" s="1"/>
  <c r="AP28" i="34"/>
  <c r="U28" i="34"/>
  <c r="U29" i="34" s="1"/>
  <c r="Y28" i="34"/>
  <c r="Y29" i="34" s="1"/>
  <c r="AG28" i="34"/>
  <c r="AW28" i="34"/>
  <c r="N28" i="34"/>
  <c r="N29" i="34" s="1"/>
  <c r="V28" i="34"/>
  <c r="AD28" i="34"/>
  <c r="AY33" i="34"/>
  <c r="AI33" i="34"/>
  <c r="S33" i="34"/>
  <c r="AZ33" i="34"/>
  <c r="AJ33" i="34"/>
  <c r="T33" i="34"/>
  <c r="BA33" i="34"/>
  <c r="AK33" i="34"/>
  <c r="U33" i="34"/>
  <c r="AT33" i="34"/>
  <c r="AD33" i="34"/>
  <c r="N33" i="34"/>
  <c r="AM33" i="34"/>
  <c r="W33" i="34"/>
  <c r="AV33" i="34"/>
  <c r="AF33" i="34"/>
  <c r="P33" i="34"/>
  <c r="AO33" i="34"/>
  <c r="Y33" i="34"/>
  <c r="I33" i="34"/>
  <c r="AP33" i="34"/>
  <c r="Z33" i="34"/>
  <c r="J33" i="34"/>
  <c r="T28" i="34"/>
  <c r="T29" i="34" s="1"/>
  <c r="O28" i="34"/>
  <c r="O29" i="34" s="1"/>
  <c r="W28" i="34"/>
  <c r="W29" i="34" s="1"/>
  <c r="AE28" i="34"/>
  <c r="AE29" i="34" s="1"/>
  <c r="AU28" i="34"/>
  <c r="AU29" i="34" s="1"/>
  <c r="AS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AC28" i="34"/>
  <c r="AC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V29" i="34"/>
  <c r="K28" i="34"/>
  <c r="K29" i="34" s="1"/>
  <c r="S28" i="34"/>
  <c r="S29" i="34" s="1"/>
  <c r="AA28" i="34"/>
  <c r="AI28" i="34"/>
  <c r="AQ28" i="34"/>
  <c r="AQ29" i="34" s="1"/>
  <c r="F26" i="33"/>
  <c r="F28" i="33" s="1"/>
  <c r="AA31" i="33" s="1"/>
  <c r="P28" i="33"/>
  <c r="P29" i="33" s="1"/>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A37" i="33"/>
  <c r="AK37" i="33"/>
  <c r="V37" i="33"/>
  <c r="AP37" i="33"/>
  <c r="X37" i="33"/>
  <c r="AY31" i="33"/>
  <c r="L31" i="33"/>
  <c r="AX31" i="33"/>
  <c r="R31" i="33"/>
  <c r="AW31" i="33"/>
  <c r="X31" i="33"/>
  <c r="AF28" i="33"/>
  <c r="AF29" i="33" s="1"/>
  <c r="G30" i="33"/>
  <c r="AN30" i="33"/>
  <c r="R30" i="33"/>
  <c r="U30" i="33"/>
  <c r="AJ30" i="33"/>
  <c r="J28" i="33"/>
  <c r="J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U32" i="33"/>
  <c r="AE32" i="33"/>
  <c r="O32" i="33"/>
  <c r="AV32" i="33"/>
  <c r="AF32" i="33"/>
  <c r="P32" i="33"/>
  <c r="AW32" i="33"/>
  <c r="AG32" i="33"/>
  <c r="I32" i="33"/>
  <c r="AP32" i="33"/>
  <c r="Z32" i="33"/>
  <c r="J32" i="33"/>
  <c r="AL32" i="33"/>
  <c r="V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B42" i="33"/>
  <c r="BC42" i="33"/>
  <c r="AM42" i="33"/>
  <c r="AN42" i="33"/>
  <c r="X42" i="33"/>
  <c r="AZ42" i="33"/>
  <c r="AJ42" i="33"/>
  <c r="AK42" i="33"/>
  <c r="U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BA56" i="33"/>
  <c r="AS56" i="33"/>
  <c r="AK56" i="33"/>
  <c r="BB56" i="33"/>
  <c r="AT56" i="33"/>
  <c r="AL56" i="33"/>
  <c r="BC56" i="33"/>
  <c r="AU56" i="33"/>
  <c r="AM56" i="33"/>
  <c r="BD56" i="33"/>
  <c r="AV56" i="33"/>
  <c r="AN56" i="33"/>
  <c r="AF56" i="33"/>
  <c r="AY56" i="33"/>
  <c r="AQ56" i="33"/>
  <c r="AI56" i="33"/>
  <c r="AZ56" i="33"/>
  <c r="AR56" i="33"/>
  <c r="AJ56" i="33"/>
  <c r="U32" i="33"/>
  <c r="AV33" i="33"/>
  <c r="T29" i="33"/>
  <c r="AJ29" i="33"/>
  <c r="P33" i="33"/>
  <c r="S26" i="33"/>
  <c r="AA26" i="33"/>
  <c r="AQ26" i="33"/>
  <c r="AL29" i="33"/>
  <c r="AM33" i="33"/>
  <c r="AA45" i="33"/>
  <c r="BA48" i="33"/>
  <c r="AS28" i="33"/>
  <c r="AS29" i="33" s="1"/>
  <c r="W29" i="33"/>
  <c r="AO29" i="33"/>
  <c r="AI32" i="33"/>
  <c r="I33" i="33"/>
  <c r="AF33" i="33"/>
  <c r="AA39" i="33"/>
  <c r="R40" i="33"/>
  <c r="AX40" i="33"/>
  <c r="AZ45" i="33"/>
  <c r="AT48" i="33"/>
  <c r="AN29" i="33"/>
  <c r="AC32" i="33"/>
  <c r="AE33" i="33"/>
  <c r="Z39" i="33"/>
  <c r="Q40" i="33"/>
  <c r="AW40" i="33"/>
  <c r="AY45" i="33"/>
  <c r="AS49" i="33"/>
  <c r="AH55" i="33"/>
  <c r="AO56"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S34" i="33"/>
  <c r="AH50" i="33"/>
  <c r="AR50" i="33"/>
  <c r="BD50" i="33"/>
  <c r="X33" i="33"/>
  <c r="AQ45" i="33"/>
  <c r="AK49" i="33"/>
  <c r="AR32" i="33"/>
  <c r="AD49" i="33"/>
  <c r="U28" i="33"/>
  <c r="U29" i="33" s="1"/>
  <c r="AM29" i="33"/>
  <c r="AB32" i="33"/>
  <c r="Y33" i="33"/>
  <c r="S39" i="33"/>
  <c r="AY39" i="33"/>
  <c r="AR45" i="33"/>
  <c r="AL48" i="33"/>
  <c r="AL49" i="33"/>
  <c r="AC29" i="33"/>
  <c r="H29" i="33"/>
  <c r="AQ32" i="33"/>
  <c r="Q33" i="33"/>
  <c r="AU33" i="33"/>
  <c r="AP39" i="33"/>
  <c r="AI45" i="33"/>
  <c r="AC48" i="33"/>
  <c r="AC49" i="33"/>
  <c r="AX55" i="33"/>
  <c r="AI39" i="33"/>
  <c r="AB45" i="33"/>
  <c r="BB48" i="33"/>
  <c r="BB49" i="33"/>
  <c r="BA49" i="33"/>
  <c r="AY33" i="33"/>
  <c r="AQ33" i="33"/>
  <c r="AI33" i="33"/>
  <c r="AA33" i="33"/>
  <c r="S33" i="33"/>
  <c r="K33" i="33"/>
  <c r="AZ33" i="33"/>
  <c r="AR33" i="33"/>
  <c r="AJ33" i="33"/>
  <c r="AB33" i="33"/>
  <c r="T33" i="33"/>
  <c r="L33" i="33"/>
  <c r="BA33" i="33"/>
  <c r="AK33" i="33"/>
  <c r="AC33" i="33"/>
  <c r="U33" i="33"/>
  <c r="M33" i="33"/>
  <c r="AS33" i="33"/>
  <c r="AT33" i="33"/>
  <c r="AL33" i="33"/>
  <c r="AD33" i="33"/>
  <c r="V33" i="33"/>
  <c r="N33" i="33"/>
  <c r="AW33" i="33"/>
  <c r="AO33" i="33"/>
  <c r="AG33" i="33"/>
  <c r="AX33" i="33"/>
  <c r="AP33" i="33"/>
  <c r="AH33" i="33"/>
  <c r="Z33" i="33"/>
  <c r="R33" i="33"/>
  <c r="J33" i="33"/>
  <c r="AH28" i="33"/>
  <c r="BB55" i="33"/>
  <c r="AT55" i="33"/>
  <c r="AL55" i="33"/>
  <c r="BC55" i="33"/>
  <c r="AU55" i="33"/>
  <c r="AM55" i="33"/>
  <c r="AE55" i="33"/>
  <c r="BD55" i="33"/>
  <c r="AV55" i="33"/>
  <c r="AN55" i="33"/>
  <c r="AF55" i="33"/>
  <c r="AW55" i="33"/>
  <c r="AO55" i="33"/>
  <c r="AG55" i="33"/>
  <c r="AZ55" i="33"/>
  <c r="AR55" i="33"/>
  <c r="AJ55" i="33"/>
  <c r="BA55" i="33"/>
  <c r="AS55" i="33"/>
  <c r="AK55" i="33"/>
  <c r="W33" i="33"/>
  <c r="AJ45" i="33"/>
  <c r="AD48" i="33"/>
  <c r="AR29" i="33"/>
  <c r="M28" i="33"/>
  <c r="M29" i="33" s="1"/>
  <c r="G29" i="33"/>
  <c r="AK32" i="33"/>
  <c r="K26" i="33"/>
  <c r="AI26" i="33"/>
  <c r="N29" i="33"/>
  <c r="AD29" i="33"/>
  <c r="AB28" i="33"/>
  <c r="AB29" i="33" s="1"/>
  <c r="AT28" i="33"/>
  <c r="X29" i="33"/>
  <c r="O33" i="33"/>
  <c r="AH39" i="33"/>
  <c r="AP55" i="33"/>
  <c r="AT49" i="33"/>
  <c r="AI55" i="33"/>
  <c r="AP56" i="33"/>
  <c r="AQ12" i="20"/>
  <c r="BF12" i="20"/>
  <c r="BD12" i="20"/>
  <c r="D78" i="20"/>
  <c r="B31" i="20" s="1"/>
  <c r="BG12" i="20"/>
  <c r="BE12" i="20"/>
  <c r="BC12" i="20"/>
  <c r="BA12" i="20"/>
  <c r="AY12" i="20"/>
  <c r="AW12" i="20"/>
  <c r="AU12" i="20"/>
  <c r="AS12" i="20"/>
  <c r="BB12" i="20"/>
  <c r="AZ12" i="20"/>
  <c r="AX12" i="20"/>
  <c r="AV12" i="20"/>
  <c r="AT12" i="20"/>
  <c r="AR12" i="20"/>
  <c r="AX34" i="33" l="1"/>
  <c r="AI34" i="33"/>
  <c r="AH34" i="33"/>
  <c r="AW34" i="33"/>
  <c r="V34" i="33"/>
  <c r="X34" i="33"/>
  <c r="L34" i="33"/>
  <c r="AL34" i="33"/>
  <c r="W34" i="33"/>
  <c r="AC34" i="33"/>
  <c r="AM34" i="33"/>
  <c r="AD34" i="33"/>
  <c r="AK34" i="33"/>
  <c r="AP34" i="33"/>
  <c r="P34" i="33"/>
  <c r="AE34" i="33"/>
  <c r="S34" i="33"/>
  <c r="AB34" i="33"/>
  <c r="AT34" i="33"/>
  <c r="AF34" i="33"/>
  <c r="BB34" i="33"/>
  <c r="J34" i="33"/>
  <c r="Y34" i="33"/>
  <c r="AN34" i="33"/>
  <c r="T34" i="33"/>
  <c r="Q34" i="33"/>
  <c r="AZ34" i="33"/>
  <c r="AV34" i="33"/>
  <c r="BA34" i="33"/>
  <c r="AU34" i="33"/>
  <c r="M34" i="33"/>
  <c r="R34" i="33"/>
  <c r="AG34" i="33"/>
  <c r="AA34" i="33"/>
  <c r="AR34" i="33"/>
  <c r="N34" i="33"/>
  <c r="U34" i="33"/>
  <c r="Z34" i="33"/>
  <c r="AO34" i="33"/>
  <c r="O34" i="33"/>
  <c r="Y29" i="33"/>
  <c r="AD50" i="33"/>
  <c r="AN50" i="33"/>
  <c r="AB50" i="33"/>
  <c r="AY50" i="33"/>
  <c r="AU50" i="33"/>
  <c r="AN37" i="33"/>
  <c r="Z37" i="33"/>
  <c r="AW37" i="33"/>
  <c r="U37" i="33"/>
  <c r="AR37" i="33"/>
  <c r="AP42" i="33"/>
  <c r="AV50" i="33"/>
  <c r="AJ50" i="33"/>
  <c r="Z50" i="33"/>
  <c r="AC42" i="33"/>
  <c r="AR42" i="33"/>
  <c r="AF42" i="33"/>
  <c r="AU42" i="33"/>
  <c r="AE31" i="33"/>
  <c r="Z31" i="33"/>
  <c r="V31" i="33"/>
  <c r="AE37" i="33"/>
  <c r="AH37" i="33"/>
  <c r="N37" i="33"/>
  <c r="AC37" i="33"/>
  <c r="AZ37" i="33"/>
  <c r="F29" i="33"/>
  <c r="AQ42" i="33"/>
  <c r="AA42" i="33"/>
  <c r="AG50" i="33"/>
  <c r="AC50" i="33"/>
  <c r="AZ50" i="33"/>
  <c r="AP50" i="33"/>
  <c r="AI42" i="33"/>
  <c r="AS42" i="33"/>
  <c r="Y42" i="33"/>
  <c r="AV42" i="33"/>
  <c r="V42" i="33"/>
  <c r="AV31" i="33"/>
  <c r="AU31" i="33"/>
  <c r="AD31" i="33"/>
  <c r="BC37" i="33"/>
  <c r="BD37" i="33"/>
  <c r="AX37" i="33"/>
  <c r="AD37" i="33"/>
  <c r="BA37" i="33"/>
  <c r="AI37" i="33"/>
  <c r="L29" i="33"/>
  <c r="AX42" i="33"/>
  <c r="AO50" i="33"/>
  <c r="AK50" i="33"/>
  <c r="AA50" i="33"/>
  <c r="AX50" i="33"/>
  <c r="AH42" i="33"/>
  <c r="BA42" i="33"/>
  <c r="AG42" i="33"/>
  <c r="BD42" i="33"/>
  <c r="AD42" i="33"/>
  <c r="O31" i="33"/>
  <c r="Q31" i="33"/>
  <c r="N31" i="33"/>
  <c r="P37" i="33"/>
  <c r="AM37" i="33"/>
  <c r="Q37" i="33"/>
  <c r="AT37" i="33"/>
  <c r="T37" i="33"/>
  <c r="AQ37" i="33"/>
  <c r="AY42" i="33"/>
  <c r="R42" i="33"/>
  <c r="AW50" i="33"/>
  <c r="AS50" i="33"/>
  <c r="AI50" i="33"/>
  <c r="Q29" i="33"/>
  <c r="T42" i="33"/>
  <c r="AO42" i="33"/>
  <c r="W42" i="33"/>
  <c r="AL42" i="33"/>
  <c r="AF31" i="33"/>
  <c r="P31" i="33"/>
  <c r="U31" i="33"/>
  <c r="AV37" i="33"/>
  <c r="AF37" i="33"/>
  <c r="AG37" i="33"/>
  <c r="BB37" i="33"/>
  <c r="AB37" i="33"/>
  <c r="AY37" i="33"/>
  <c r="Z42" i="33"/>
  <c r="BC50" i="33"/>
  <c r="AM50" i="33"/>
  <c r="AF50" i="33"/>
  <c r="BA50" i="33"/>
  <c r="AQ50" i="33"/>
  <c r="AB42" i="33"/>
  <c r="AW42" i="33"/>
  <c r="AE42" i="33"/>
  <c r="AT42" i="33"/>
  <c r="Y31" i="33"/>
  <c r="J31" i="33"/>
  <c r="AC31" i="33"/>
  <c r="O37" i="33"/>
  <c r="R37" i="33"/>
  <c r="AO37" i="33"/>
  <c r="M37" i="33"/>
  <c r="AJ37" i="33"/>
  <c r="AO40" i="33"/>
  <c r="Z40" i="33"/>
  <c r="AK29" i="33"/>
  <c r="AM31" i="33"/>
  <c r="G31" i="33"/>
  <c r="AP31" i="33"/>
  <c r="AB31" i="33"/>
  <c r="AU37" i="33"/>
  <c r="W37" i="33"/>
  <c r="Y37" i="33"/>
  <c r="AL37" i="33"/>
  <c r="AS37" i="33"/>
  <c r="Y40" i="33"/>
  <c r="AH40" i="33"/>
  <c r="AI31" i="33"/>
  <c r="T31" i="33"/>
  <c r="AR31" i="33"/>
  <c r="AK31" i="33"/>
  <c r="AQ31" i="33"/>
  <c r="BA57" i="34"/>
  <c r="AK57" i="34"/>
  <c r="AQ33" i="34"/>
  <c r="AA33" i="34"/>
  <c r="K33" i="34"/>
  <c r="AR33" i="34"/>
  <c r="AB33" i="34"/>
  <c r="L33" i="34"/>
  <c r="AS33" i="34"/>
  <c r="AC33" i="34"/>
  <c r="M33" i="34"/>
  <c r="AL33" i="34"/>
  <c r="V33" i="34"/>
  <c r="AU33" i="34"/>
  <c r="AE33" i="34"/>
  <c r="O33" i="34"/>
  <c r="AN33" i="34"/>
  <c r="X33" i="34"/>
  <c r="AW33" i="34"/>
  <c r="AG33" i="34"/>
  <c r="Q33" i="34"/>
  <c r="AX33" i="34"/>
  <c r="AH33" i="34"/>
  <c r="R33" i="34"/>
  <c r="AG28" i="33"/>
  <c r="AG29" i="33" s="1"/>
  <c r="AQ30" i="33"/>
  <c r="AA30" i="33"/>
  <c r="V30" i="33"/>
  <c r="H30" i="33"/>
  <c r="AP30" i="33"/>
  <c r="AM30" i="33"/>
  <c r="AX30" i="33"/>
  <c r="AK30" i="33"/>
  <c r="L30" i="33"/>
  <c r="AC30" i="33"/>
  <c r="F30" i="33"/>
  <c r="F60" i="33" s="1"/>
  <c r="AL30" i="33"/>
  <c r="AG30" i="33"/>
  <c r="X30" i="33"/>
  <c r="Z30" i="33"/>
  <c r="Y30" i="33"/>
  <c r="W30" i="33"/>
  <c r="E62" i="33"/>
  <c r="F61" i="33" s="1"/>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76" i="34" s="1"/>
  <c r="AY66" i="33"/>
  <c r="AY76" i="33" s="1"/>
  <c r="AM76" i="34"/>
  <c r="BA66" i="33"/>
  <c r="BA76" i="33" s="1"/>
  <c r="BA66" i="34"/>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BA76" i="34"/>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J60" i="33" l="1"/>
  <c r="AI58" i="33"/>
  <c r="AQ58" i="33"/>
  <c r="AH58" i="33"/>
  <c r="AP58" i="33"/>
  <c r="BB58" i="33"/>
  <c r="AL58" i="33"/>
  <c r="AU58" i="33"/>
  <c r="BD58" i="33"/>
  <c r="AN58" i="33"/>
  <c r="AO58" i="33"/>
  <c r="AR58" i="33"/>
  <c r="BA58" i="33"/>
  <c r="AK58" i="33"/>
  <c r="AX58" i="33"/>
  <c r="AY58" i="33"/>
  <c r="AT58" i="33"/>
  <c r="BC58" i="33"/>
  <c r="AM58" i="33"/>
  <c r="AV58" i="33"/>
  <c r="AW58" i="33"/>
  <c r="AZ58" i="33"/>
  <c r="AJ58" i="33"/>
  <c r="AS58" i="33"/>
  <c r="E63" i="33"/>
  <c r="E64" i="33" s="1"/>
  <c r="F62" i="33"/>
  <c r="G61" i="33" s="1"/>
  <c r="G62" i="33" s="1"/>
  <c r="H61" i="33" s="1"/>
  <c r="I60" i="33"/>
  <c r="H60" i="33"/>
  <c r="K60" i="33"/>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W60" i="33" l="1"/>
  <c r="AK60" i="33"/>
  <c r="AB60" i="33"/>
  <c r="AS60" i="33"/>
  <c r="AX60" i="33"/>
  <c r="F63" i="33"/>
  <c r="F64" i="33" s="1"/>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R62" i="34"/>
  <c r="AS61" i="34" s="1"/>
  <c r="AT62" i="33"/>
  <c r="AU61" i="33" s="1"/>
  <c r="AQ81" i="34" l="1"/>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V62" i="34"/>
  <c r="AW61" i="34" s="1"/>
  <c r="AX62" i="33"/>
  <c r="AY61" i="33" s="1"/>
  <c r="AU81" i="34" l="1"/>
  <c r="AX63" i="33"/>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4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B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B00-000002000000}">
      <text>
        <r>
          <rPr>
            <b/>
            <sz val="9"/>
            <color indexed="81"/>
            <rFont val="Tahoma"/>
            <family val="2"/>
          </rPr>
          <t>Stirling, Graham:</t>
        </r>
        <r>
          <rPr>
            <sz val="9"/>
            <color indexed="81"/>
            <rFont val="Tahoma"/>
            <family val="2"/>
          </rPr>
          <t xml:space="preserve">
3 windfarms only
</t>
        </r>
      </text>
    </comment>
    <comment ref="M50" authorId="0" shapeId="0" xr:uid="{00000000-0006-0000-0B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21B07E97-2143-4A75-8890-955D0020B0F6}">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30984D1A-D7E3-4E2E-84F5-15629CA251DF}">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5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5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500-000003000000}">
      <text>
        <r>
          <rPr>
            <b/>
            <sz val="9"/>
            <color indexed="81"/>
            <rFont val="Tahoma"/>
            <family val="2"/>
          </rPr>
          <t>Stirling, Graham:</t>
        </r>
        <r>
          <rPr>
            <sz val="9"/>
            <color indexed="81"/>
            <rFont val="Tahoma"/>
            <family val="2"/>
          </rPr>
          <t xml:space="preserve">
HV set on standby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6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600-000002000000}">
      <text>
        <r>
          <rPr>
            <b/>
            <sz val="9"/>
            <color indexed="81"/>
            <rFont val="Tahoma"/>
            <family val="2"/>
          </rPr>
          <t>Stirling, Graham:</t>
        </r>
        <r>
          <rPr>
            <sz val="9"/>
            <color indexed="81"/>
            <rFont val="Tahoma"/>
            <family val="2"/>
          </rPr>
          <t xml:space="preserve">
3 windfarms only
</t>
        </r>
      </text>
    </comment>
    <comment ref="M50" authorId="0" shapeId="0" xr:uid="{00000000-0006-0000-06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3E0601FC-F8F2-4136-9512-172453651FCC}">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B47E4448-4C17-435F-A68D-1EE55EDB3732}">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7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8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9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A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A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A00-000003000000}">
      <text>
        <r>
          <rPr>
            <b/>
            <sz val="9"/>
            <color indexed="81"/>
            <rFont val="Tahoma"/>
            <family val="2"/>
          </rPr>
          <t>Stirling, Graham:</t>
        </r>
        <r>
          <rPr>
            <sz val="9"/>
            <color indexed="81"/>
            <rFont val="Tahoma"/>
            <family val="2"/>
          </rPr>
          <t xml:space="preserve">
HV set on standby
</t>
        </r>
      </text>
    </comment>
  </commentList>
</comments>
</file>

<file path=xl/sharedStrings.xml><?xml version="1.0" encoding="utf-8"?>
<sst xmlns="http://schemas.openxmlformats.org/spreadsheetml/2006/main" count="2565" uniqueCount="635">
  <si>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</si>
  <si>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</si>
  <si>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</si>
  <si>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</si>
  <si>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</si>
  <si>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</si>
  <si>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</si>
  <si>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</si>
  <si>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</si>
  <si>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</si>
  <si>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</si>
  <si>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</si>
  <si>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</si>
  <si>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</si>
  <si>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</si>
  <si>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</si>
  <si>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</si>
  <si>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</si>
  <si>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</si>
  <si>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</si>
  <si>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</si>
  <si>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</si>
  <si>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</si>
  <si>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</si>
  <si>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</si>
  <si>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</si>
  <si>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</si>
  <si>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</si>
  <si>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</si>
  <si>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</si>
  <si>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</si>
  <si>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</si>
  <si>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</si>
  <si>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</si>
  <si>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</si>
  <si>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</si>
  <si>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</si>
  <si>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</si>
  <si>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</si>
  <si>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</si>
  <si>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</si>
  <si>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</si>
  <si>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</si>
  <si>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</si>
  <si>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</si>
  <si>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</si>
  <si>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</si>
  <si>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</si>
  <si>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</si>
  <si>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</si>
  <si>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</si>
  <si>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</si>
  <si>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</si>
  <si>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</si>
  <si>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</si>
  <si>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</si>
  <si>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</si>
  <si>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</si>
  <si>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</si>
  <si>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</si>
  <si>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</si>
  <si>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</si>
  <si>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</si>
  <si>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</si>
  <si>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</si>
  <si>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</si>
  <si>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</si>
  <si>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</si>
  <si>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</si>
  <si>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</si>
  <si>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</si>
  <si>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</si>
  <si>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</si>
  <si>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</si>
  <si>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</si>
  <si>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</si>
  <si>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</si>
  <si>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</si>
  <si>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</si>
  <si>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</si>
  <si>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</si>
  <si>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</si>
  <si>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</si>
  <si>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</si>
  <si>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</si>
  <si>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</si>
  <si>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</si>
  <si>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</si>
  <si>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</si>
  <si>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</si>
  <si>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</si>
  <si>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</si>
  <si>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</si>
  <si>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</si>
  <si>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</si>
  <si>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</si>
  <si>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</si>
  <si>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</si>
  <si>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</si>
  <si>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</si>
  <si>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</si>
  <si>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</si>
  <si>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</si>
  <si>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</si>
  <si>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</si>
  <si>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</si>
  <si>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</si>
  <si>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</si>
  <si>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</si>
  <si>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</si>
  <si>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</si>
  <si>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</si>
  <si>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</si>
  <si>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</si>
  <si>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</si>
  <si>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</si>
  <si>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</si>
  <si>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</si>
  <si>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</si>
  <si>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</si>
  <si>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</si>
  <si>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</si>
  <si>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</si>
  <si>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</si>
  <si>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</si>
  <si>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</si>
  <si>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</si>
  <si>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</si>
  <si>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</si>
  <si>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</si>
  <si>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</si>
  <si>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</si>
  <si>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</si>
  <si>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</si>
  <si>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</si>
  <si>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</si>
  <si>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</si>
  <si>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</si>
  <si>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</si>
  <si>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</si>
  <si>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</si>
  <si>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</si>
  <si>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</si>
  <si>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</si>
  <si>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</si>
  <si>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</si>
  <si>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</si>
  <si>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</si>
  <si>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</si>
  <si>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</si>
  <si>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</si>
  <si>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</si>
  <si>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</si>
  <si>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</si>
  <si>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</si>
  <si>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</si>
  <si>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</si>
  <si>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</si>
  <si>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</si>
  <si>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</si>
  <si>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</si>
  <si>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</si>
  <si>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</si>
  <si>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</si>
  <si>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</si>
  <si>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</si>
  <si>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</si>
  <si>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</si>
  <si>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</si>
  <si>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</si>
  <si>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</si>
  <si>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</si>
  <si>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</si>
  <si>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</si>
  <si>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</si>
  <si>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</si>
  <si>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</si>
  <si>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</si>
  <si>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</si>
  <si>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</si>
  <si>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</si>
  <si>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</si>
  <si>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</si>
  <si>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</si>
  <si>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</si>
  <si>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</si>
  <si>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</si>
  <si>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</si>
  <si>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</si>
  <si>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</si>
  <si>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</si>
  <si>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</si>
  <si>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</si>
  <si>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</si>
  <si>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</si>
  <si>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</si>
  <si>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</si>
  <si>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</si>
  <si>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</si>
  <si>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</si>
  <si>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</si>
  <si>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</si>
  <si>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</si>
  <si>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</si>
  <si>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</si>
  <si>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</si>
  <si>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</si>
  <si>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</si>
  <si>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</si>
  <si>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</si>
  <si>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</si>
  <si>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</si>
  <si>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</si>
  <si>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</si>
  <si>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</si>
  <si>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</si>
  <si>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</si>
  <si>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</si>
  <si>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</si>
  <si>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</si>
  <si>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</si>
  <si>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</si>
  <si>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</si>
  <si>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</si>
  <si>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</si>
  <si>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</si>
  <si>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</si>
  <si>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</si>
  <si>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</si>
  <si>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</si>
  <si>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</si>
  <si>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</si>
  <si>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</si>
  <si>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</si>
  <si>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</si>
  <si>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</si>
  <si>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</si>
  <si>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</si>
  <si>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</si>
  <si>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</si>
  <si>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</si>
  <si>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</si>
  <si>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</si>
  <si>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</si>
  <si>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</si>
  <si>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</si>
  <si>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</si>
  <si>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</si>
  <si>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</si>
  <si>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</si>
  <si>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</si>
  <si>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</si>
  <si>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</si>
  <si>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</si>
  <si>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</si>
  <si>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</si>
  <si>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</si>
  <si>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</si>
  <si>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</si>
  <si>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</si>
  <si>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</si>
  <si>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</si>
  <si>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</si>
  <si>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</si>
  <si>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</si>
  <si>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</si>
  <si>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</si>
  <si>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</si>
  <si>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</si>
  <si>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</si>
  <si>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</si>
  <si>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</si>
  <si>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</si>
  <si>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</si>
  <si>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</si>
  <si>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</si>
  <si>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</si>
  <si>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</si>
  <si>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</si>
  <si>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</si>
  <si>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</si>
  <si>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</si>
  <si>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</si>
  <si>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</si>
  <si>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</si>
  <si>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</si>
  <si>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</si>
  <si>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</si>
  <si>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</si>
  <si>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</si>
  <si>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</si>
  <si>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</si>
  <si>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</si>
  <si>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</si>
  <si>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</si>
  <si>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</si>
  <si>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</si>
  <si>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</si>
  <si>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</si>
  <si>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</si>
  <si>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</si>
  <si>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</si>
  <si>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</si>
  <si>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</si>
  <si>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</si>
  <si>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</si>
  <si>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</si>
  <si>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</si>
  <si>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</si>
  <si>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</si>
  <si>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</si>
  <si>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</si>
  <si>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</si>
  <si>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</si>
  <si>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</si>
  <si>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</si>
  <si>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</si>
  <si>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</si>
  <si>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</si>
  <si>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</si>
  <si>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</si>
  <si>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</si>
  <si>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</si>
  <si>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</si>
  <si>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</si>
  <si>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</si>
  <si>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</si>
  <si>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</si>
  <si>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</si>
  <si>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</si>
  <si>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</si>
  <si>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</si>
  <si>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</si>
  <si>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</si>
  <si>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</si>
  <si>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</si>
  <si>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</si>
  <si>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</si>
  <si>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</si>
  <si>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</si>
  <si>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</si>
  <si>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</si>
  <si>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</si>
  <si>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</si>
  <si>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</si>
  <si>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Days to geny trip</t>
  </si>
  <si>
    <t>Planned Outage</t>
  </si>
  <si>
    <t>Duration of genny trip</t>
  </si>
  <si>
    <t>Unplanned Outage</t>
  </si>
  <si>
    <t>BOLD RED = ESTIMATE</t>
  </si>
  <si>
    <t>CI</t>
  </si>
  <si>
    <t>Staff cost</t>
  </si>
  <si>
    <t>CHL</t>
  </si>
  <si>
    <t>Live Line Harvesting</t>
  </si>
  <si>
    <t>Conventional Harvesting under outage with generation</t>
  </si>
  <si>
    <t>System Security Liability</t>
  </si>
  <si>
    <t xml:space="preserve">Depot </t>
  </si>
  <si>
    <t>Wodland name / ref</t>
  </si>
  <si>
    <t>location</t>
  </si>
  <si>
    <t>landowner details</t>
  </si>
  <si>
    <t>date completed</t>
  </si>
  <si>
    <t>Actual duration of works (days)</t>
  </si>
  <si>
    <t>Live harvesting costs (contractor)</t>
  </si>
  <si>
    <t>live harvesting costs (SSE)</t>
  </si>
  <si>
    <t>Total costs</t>
  </si>
  <si>
    <t>Customers</t>
  </si>
  <si>
    <t>Duration of outage</t>
  </si>
  <si>
    <t>CI's Assumed 2 disconections per customer</t>
  </si>
  <si>
    <t xml:space="preserve">CHL's Based on the total estimated time to connect and disconnect generation </t>
  </si>
  <si>
    <t>Cost of Generation</t>
  </si>
  <si>
    <t>SSE Staff Cost</t>
  </si>
  <si>
    <t xml:space="preserve">CI cost </t>
  </si>
  <si>
    <t xml:space="preserve">CHL cost </t>
  </si>
  <si>
    <t>Likelyhood of genny trip</t>
  </si>
  <si>
    <t>Likely genny trip staff cost</t>
  </si>
  <si>
    <t>Likely genny trip CICHL costs</t>
  </si>
  <si>
    <t>Total cost of generation</t>
  </si>
  <si>
    <t>Customers Potentially Affected outside of outage area (number)</t>
  </si>
  <si>
    <t xml:space="preserve"> Estimated ERTS (Hours) based on access and staff coverage</t>
  </si>
  <si>
    <t xml:space="preserve">Customer hours lost if fault occurs </t>
  </si>
  <si>
    <t>CI cost</t>
  </si>
  <si>
    <t>CHL cost</t>
  </si>
  <si>
    <t>Total potential cost</t>
  </si>
  <si>
    <t>Likelyhood</t>
  </si>
  <si>
    <t>Potential Cost vs likelyhood</t>
  </si>
  <si>
    <t>Potential total cost under generation</t>
  </si>
  <si>
    <t>Potential saving</t>
  </si>
  <si>
    <t>Argyll</t>
  </si>
  <si>
    <t>Tarbert</t>
  </si>
  <si>
    <t>Greenland CC1</t>
  </si>
  <si>
    <t>Cambeltown</t>
  </si>
  <si>
    <t>Egger</t>
  </si>
  <si>
    <t>Greenland CC2</t>
  </si>
  <si>
    <t>Higland</t>
  </si>
  <si>
    <t>Trinloist</t>
  </si>
  <si>
    <t>Errogie</t>
  </si>
  <si>
    <t>Forestry Commission</t>
  </si>
  <si>
    <t>Broadford Hospital</t>
  </si>
  <si>
    <t>Skye</t>
  </si>
  <si>
    <t>HIE</t>
  </si>
  <si>
    <t>Ardchyline</t>
  </si>
  <si>
    <t>Strachur</t>
  </si>
  <si>
    <t>Scottish Woodlands</t>
  </si>
  <si>
    <t>Pennyghael</t>
  </si>
  <si>
    <t>Isle of Mull</t>
  </si>
  <si>
    <t>Tilhill</t>
  </si>
  <si>
    <t>Fank Cottage</t>
  </si>
  <si>
    <t>Kilfinichan</t>
  </si>
  <si>
    <t>Dixons</t>
  </si>
  <si>
    <t>Highland</t>
  </si>
  <si>
    <t>Strome Carronach</t>
  </si>
  <si>
    <t>Loch Carron</t>
  </si>
  <si>
    <t>Dallinlongart</t>
  </si>
  <si>
    <t>Kirkton Wood</t>
  </si>
  <si>
    <t>Munros timber</t>
  </si>
  <si>
    <t>Glen Douglas</t>
  </si>
  <si>
    <t>No of days completed to date</t>
  </si>
  <si>
    <t>Generation total</t>
  </si>
  <si>
    <t>Network Sec Total</t>
  </si>
  <si>
    <t>LLH Costs to date</t>
  </si>
  <si>
    <t>Average Per day</t>
  </si>
  <si>
    <t>Average per day</t>
  </si>
  <si>
    <t>Average costs per day</t>
  </si>
  <si>
    <t>CI/CHL Total</t>
  </si>
  <si>
    <t>Do Nothing Scenario.  Normal tree cutting operations take place here by third parties.  Generation and associated CI / CML costs have been included</t>
  </si>
  <si>
    <t xml:space="preserve">Currently one hired live line tree cutter makes up the costs.  Benefits are the reduction in diesel generation along with associated CI CML costs of generation activities. </t>
  </si>
  <si>
    <t>Number of generation related CHLs</t>
  </si>
  <si>
    <t>Total Cost of generation (excluding CI / CMLs)</t>
  </si>
  <si>
    <t>Number of generation related CIs</t>
  </si>
  <si>
    <t>Total Cost of CIs</t>
  </si>
  <si>
    <t>Likely gen trip CI cost</t>
  </si>
  <si>
    <t>Likely gen trip CHL cost</t>
  </si>
  <si>
    <t>Total Cost of CHLs</t>
  </si>
  <si>
    <t>Number of likely CI's</t>
  </si>
  <si>
    <t>Number of likely CHL's</t>
  </si>
  <si>
    <t>Number of likely CIs</t>
  </si>
  <si>
    <t>Number of likely CHLs</t>
  </si>
  <si>
    <t>Likely CI Cost</t>
  </si>
  <si>
    <t>Likely CHL Cost</t>
  </si>
  <si>
    <t>Cost of likely CI's</t>
  </si>
  <si>
    <t>Cost of likely CHL's</t>
  </si>
  <si>
    <t>Investment: Tree Cutting</t>
  </si>
  <si>
    <t>Number of likely Cis</t>
  </si>
  <si>
    <t>Number Of likely CHL's</t>
  </si>
  <si>
    <t>CO2e</t>
  </si>
  <si>
    <t>*Source: DCF Carbon Calculation Factors 29_9_2015 based on Fuels - Diesel - 100% mineral oil</t>
  </si>
  <si>
    <t>CBA figures</t>
  </si>
  <si>
    <r>
      <t xml:space="preserve">Workings / assumptions used for costing </t>
    </r>
    <r>
      <rPr>
        <b/>
        <sz val="14"/>
        <color rgb="FF0070C0"/>
        <rFont val="Calibri"/>
        <family val="2"/>
        <scheme val="minor"/>
      </rPr>
      <t>Option 2</t>
    </r>
  </si>
  <si>
    <t>Investment Tree Cutting</t>
  </si>
  <si>
    <t>Ofgem CBA Figure</t>
  </si>
  <si>
    <t>Total Litres of diesel used by harvester</t>
  </si>
  <si>
    <t>Total number of days used</t>
  </si>
  <si>
    <t>Total Litres of diesel used by harvester per day</t>
  </si>
  <si>
    <t>Total CO2 emitted (kg co2e)</t>
  </si>
  <si>
    <t>Total CO2 emitted (tonnes co2e)</t>
  </si>
  <si>
    <t>CO2 Emitted</t>
  </si>
  <si>
    <t>Total Cost of diesel</t>
  </si>
  <si>
    <t>*Calculated by dividing cost of diesel per litre (£0.5) from number of litres used per hour per generator</t>
  </si>
  <si>
    <t>*£0.5 used as cost of diesel per litre (same as workings baseline)</t>
  </si>
  <si>
    <t>Baseline Contractors &amp; Hand Felling Harvesting</t>
  </si>
  <si>
    <t>Live Line Tree Harvesting</t>
  </si>
  <si>
    <t>Monthly hire Rate</t>
  </si>
  <si>
    <t>SSE supervisor</t>
  </si>
  <si>
    <t xml:space="preserve">                 </t>
  </si>
  <si>
    <t>Potential availability (days per year)</t>
  </si>
  <si>
    <t>Days unavailable (off hire)</t>
  </si>
  <si>
    <t>Months available</t>
  </si>
  <si>
    <t>Month</t>
  </si>
  <si>
    <t>Duration</t>
  </si>
  <si>
    <t>Total days utilised</t>
  </si>
  <si>
    <t>Utilisation</t>
  </si>
  <si>
    <t>Machine Costs</t>
  </si>
  <si>
    <t>Harmony Cost including Fuel, Accomodatiom, Staff costs and Sundries</t>
  </si>
  <si>
    <t>Likely total cost under generation</t>
  </si>
  <si>
    <t>Minimum saving</t>
  </si>
  <si>
    <t>Ardmarnock</t>
  </si>
  <si>
    <t>Loch Ascog</t>
  </si>
  <si>
    <t>RTS</t>
  </si>
  <si>
    <t>Planning</t>
  </si>
  <si>
    <t>Total</t>
  </si>
  <si>
    <t>Off Hire for entire month due to operator and supervisor leave + workshop time.</t>
  </si>
  <si>
    <t>North east</t>
  </si>
  <si>
    <t>Tillypronnie Estate</t>
  </si>
  <si>
    <t>Tarland</t>
  </si>
  <si>
    <t>Tillypronie sawmill</t>
  </si>
  <si>
    <t>Tillypronie Coro' wood</t>
  </si>
  <si>
    <t>Tayside</t>
  </si>
  <si>
    <t>Kinniard Village</t>
  </si>
  <si>
    <t>Kinniard</t>
  </si>
  <si>
    <t>Willy Laing</t>
  </si>
  <si>
    <t>Achnaba</t>
  </si>
  <si>
    <t>Perth</t>
  </si>
  <si>
    <t>Drymen</t>
  </si>
  <si>
    <t>Gortocharn</t>
  </si>
  <si>
    <t>Cnochan A Chorra</t>
  </si>
  <si>
    <t>Kames</t>
  </si>
  <si>
    <t>Kyles View</t>
  </si>
  <si>
    <t>Glendaruel</t>
  </si>
  <si>
    <t>Euroforest</t>
  </si>
  <si>
    <t>Hells Glen</t>
  </si>
  <si>
    <t>Ardno</t>
  </si>
  <si>
    <t>DSH Woodlands</t>
  </si>
  <si>
    <t>Ardoch</t>
  </si>
  <si>
    <t>Murthly</t>
  </si>
  <si>
    <t>Adam Ritchie</t>
  </si>
  <si>
    <t>Littleport</t>
  </si>
  <si>
    <t>St Fillans</t>
  </si>
  <si>
    <t>Tiroran</t>
  </si>
  <si>
    <t>Isle Of Mull</t>
  </si>
  <si>
    <t>Dalchork</t>
  </si>
  <si>
    <t>Lairg</t>
  </si>
  <si>
    <t>Achfarry</t>
  </si>
  <si>
    <t>Shinnach</t>
  </si>
  <si>
    <t>Strathdon</t>
  </si>
  <si>
    <t>James Jones</t>
  </si>
  <si>
    <t>Machine Days</t>
  </si>
  <si>
    <t>Total Cost</t>
  </si>
  <si>
    <t>Cost per day</t>
  </si>
  <si>
    <t>Total available days per year</t>
  </si>
  <si>
    <t>Utilisation To Date</t>
  </si>
  <si>
    <t xml:space="preserve">*£0.5 used as cost of diesel per litre (same as workings baseline). Note that fuel costs are already included in harmony costs and so are not added to "investment tree cutting costs" as in previous year. </t>
  </si>
  <si>
    <r>
      <t xml:space="preserve">Workings / assumptions used for costing </t>
    </r>
    <r>
      <rPr>
        <b/>
        <sz val="14"/>
        <color rgb="FF0070C0"/>
        <rFont val="Arial"/>
        <family val="2"/>
      </rPr>
      <t>Baseline</t>
    </r>
  </si>
  <si>
    <t>Live Line Harvester Costs</t>
  </si>
  <si>
    <t>Machine Type</t>
  </si>
  <si>
    <t>Woodland name / ref</t>
  </si>
  <si>
    <t>April</t>
  </si>
  <si>
    <t>Contract Harvester</t>
  </si>
  <si>
    <t>NE</t>
  </si>
  <si>
    <t>Conerock</t>
  </si>
  <si>
    <t>Aberlour</t>
  </si>
  <si>
    <t>Gordons</t>
  </si>
  <si>
    <t>TW</t>
  </si>
  <si>
    <t>Balquidder</t>
  </si>
  <si>
    <t>SSE Harvester</t>
  </si>
  <si>
    <t>Rannoch</t>
  </si>
  <si>
    <t>Rannoch Lodge</t>
  </si>
  <si>
    <t>Tilhill/FCS</t>
  </si>
  <si>
    <t>Training</t>
  </si>
  <si>
    <t>Marykirk</t>
  </si>
  <si>
    <t>Workshop</t>
  </si>
  <si>
    <t>Treetop Forestry</t>
  </si>
  <si>
    <t>May</t>
  </si>
  <si>
    <t>AS</t>
  </si>
  <si>
    <t>Kennelhill</t>
  </si>
  <si>
    <t>Lochgilphead</t>
  </si>
  <si>
    <t>Barracks</t>
  </si>
  <si>
    <t>June</t>
  </si>
  <si>
    <t>HI</t>
  </si>
  <si>
    <t>Ord</t>
  </si>
  <si>
    <t>Nairn</t>
  </si>
  <si>
    <t>July</t>
  </si>
  <si>
    <t>Ormidale</t>
  </si>
  <si>
    <t>Balnafoich</t>
  </si>
  <si>
    <t>Cawdor</t>
  </si>
  <si>
    <t xml:space="preserve">Barracks </t>
  </si>
  <si>
    <t>August</t>
  </si>
  <si>
    <t>Ardlamont</t>
  </si>
  <si>
    <t>September</t>
  </si>
  <si>
    <t>Barevan</t>
  </si>
  <si>
    <t>October</t>
  </si>
  <si>
    <t>North East</t>
  </si>
  <si>
    <t>Kildrummy</t>
  </si>
  <si>
    <t>Lindsaig</t>
  </si>
  <si>
    <t>TS</t>
  </si>
  <si>
    <t>Inver</t>
  </si>
  <si>
    <t>November</t>
  </si>
  <si>
    <t>AN</t>
  </si>
  <si>
    <t>Dalmally</t>
  </si>
  <si>
    <t>Roy Bridge</t>
  </si>
  <si>
    <t>December</t>
  </si>
  <si>
    <t>Dalmally 2</t>
  </si>
  <si>
    <t>January</t>
  </si>
  <si>
    <t>Duncrub</t>
  </si>
  <si>
    <t>Clachaig</t>
  </si>
  <si>
    <t>Micheal Swailes</t>
  </si>
  <si>
    <t>February</t>
  </si>
  <si>
    <t>Rowardennan</t>
  </si>
  <si>
    <t>Culdrain</t>
  </si>
  <si>
    <t>March</t>
  </si>
  <si>
    <t>Moray</t>
  </si>
  <si>
    <t>Glen Eagles</t>
  </si>
  <si>
    <t>Iggesund</t>
  </si>
  <si>
    <t>Dores</t>
  </si>
  <si>
    <t>Total Litres of diesel avoided</t>
  </si>
  <si>
    <t>Total CO2 Avoided (kg co2e)</t>
  </si>
  <si>
    <t>Total CO2 Avoided (tonnes co2e)</t>
  </si>
  <si>
    <r>
      <rPr>
        <b/>
        <sz val="10"/>
        <color theme="1"/>
        <rFont val="Gill Sans MT"/>
        <family val="2"/>
      </rPr>
      <t xml:space="preserve">Live Line Harvester: </t>
    </r>
    <r>
      <rPr>
        <sz val="10"/>
        <color theme="1"/>
        <rFont val="Gill Sans MT"/>
        <family val="2"/>
      </rPr>
      <t>Harvester is able to cut down trees adjacent to live lines without the need for an outage, thus reducing customer outages.</t>
    </r>
  </si>
  <si>
    <t>Ford</t>
  </si>
  <si>
    <t>Cnoch na Dail - East</t>
  </si>
  <si>
    <t>Cnoch na Dail - West</t>
  </si>
  <si>
    <t>The heights 33kv</t>
  </si>
  <si>
    <t>Arran</t>
  </si>
  <si>
    <t>Garth Wood</t>
  </si>
  <si>
    <t>Aberfeldy</t>
  </si>
  <si>
    <t>The Heights 11kv</t>
  </si>
  <si>
    <t>Attadale</t>
  </si>
  <si>
    <t>Tom Doune</t>
  </si>
  <si>
    <t>Craibstone</t>
  </si>
  <si>
    <t>Balmaha</t>
  </si>
  <si>
    <t>Clackmannanshire</t>
  </si>
  <si>
    <t>Sandbank</t>
  </si>
  <si>
    <t>Cruach Tarbiet</t>
  </si>
  <si>
    <t>Brenfield</t>
  </si>
  <si>
    <t>Bridge of Gaur - 1</t>
  </si>
  <si>
    <t>Kinloch Rannoch</t>
  </si>
  <si>
    <t>Callander</t>
  </si>
  <si>
    <t>Stirlingshire</t>
  </si>
  <si>
    <t>Bridge of Gaur - 2</t>
  </si>
  <si>
    <t>Point sands</t>
  </si>
  <si>
    <t>Tain</t>
  </si>
  <si>
    <t>Bute</t>
  </si>
  <si>
    <t>Total CO2 Saved (kg co2e)</t>
  </si>
  <si>
    <t>Total CO2 Saved (tonnes co2e)</t>
  </si>
  <si>
    <t>Upper Sonnachan</t>
  </si>
  <si>
    <t>Keppochan</t>
  </si>
  <si>
    <t>Invershin 2</t>
  </si>
  <si>
    <t>Coupar</t>
  </si>
  <si>
    <t>Panmure - Outage</t>
  </si>
  <si>
    <t>Off Hire</t>
  </si>
  <si>
    <t>Gateside</t>
  </si>
  <si>
    <t>Strone</t>
  </si>
  <si>
    <t xml:space="preserve">Alan Grange </t>
  </si>
  <si>
    <t>Dunallister</t>
  </si>
  <si>
    <t>Tynedrum</t>
  </si>
  <si>
    <t>Dunoon</t>
  </si>
  <si>
    <t>Tummel Bridge</t>
  </si>
  <si>
    <t>Knochbahn</t>
  </si>
  <si>
    <t>Delshanghie</t>
  </si>
  <si>
    <t>Tummel Windrisk</t>
  </si>
  <si>
    <t>Wolfhill transmission</t>
  </si>
  <si>
    <t>Abuthnot</t>
  </si>
  <si>
    <t>Duration of outage (days)</t>
  </si>
  <si>
    <t>Total Cost (hand cutting)</t>
  </si>
  <si>
    <t>Total cost tree cutter</t>
  </si>
  <si>
    <r>
      <t xml:space="preserve">Calculated by summing the litres of diesel for all the jobs and dividing by the cost per diesel (£0.5):   Z:\E - NIA Programme\01. Archive\01. Non Project\Reports IFI LCNF &amp; NIA\Regulatory Reports\2019_20\E6\Live Line Harvester\LLTC Tracker 2019-20.xlsx  </t>
    </r>
    <r>
      <rPr>
        <sz val="11"/>
        <color rgb="FFFF0000"/>
        <rFont val="Calibri"/>
        <family val="2"/>
        <scheme val="minor"/>
      </rPr>
      <t>Dallinlongart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</si>
</sst>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_ ;\-#,##0\ "/>
  </numFmts>
  <fonts count="5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1"/>
      <name val="Arial"/>
      <family val="2"/>
    </font>
    <font>
      <b/>
      <sz val="11"/>
      <color rgb="FFFF0000"/>
      <name val="Arial"/>
      <family val="2"/>
    </font>
    <font>
      <sz val="11"/>
      <name val="Arial"/>
      <family val="2"/>
    </font>
    <font>
      <sz val="11"/>
      <color rgb="FFFF0000"/>
      <name val="Arial"/>
      <family val="2"/>
    </font>
    <font>
      <b/>
      <sz val="9"/>
      <color indexed="81"/>
      <name val="Tahoma"/>
      <family val="2"/>
    </font>
    <font>
      <sz val="9"/>
      <color indexed="81"/>
      <name val="Tahoma"/>
      <family val="2"/>
    </font>
    <font>
      <b/>
      <sz val="11"/>
      <name val="Arial"/>
      <family val="2"/>
    </font>
    <font>
      <b/>
      <sz val="11"/>
      <color rgb="FFFF0000"/>
      <name val="Calibri"/>
      <family val="2"/>
      <scheme val="minor"/>
    </font>
    <font>
      <b/>
      <sz val="11"/>
      <name val="Calibri"/>
      <family val="2"/>
      <scheme val="minor"/>
    </font>
    <font>
      <b/>
      <sz val="14"/>
      <color theme="1"/>
      <name val="Arial"/>
      <family val="2"/>
    </font>
    <font>
      <b/>
      <sz val="14"/>
      <color rgb="FF0070C0"/>
      <name val="Arial"/>
      <family val="2"/>
    </font>
    <font>
      <sz val="10"/>
      <color theme="1"/>
      <name val="Arial"/>
      <family val="2"/>
    </font>
    <font>
      <sz val="11"/>
      <color rgb="FFFF0000"/>
      <name val="Calibri"/>
      <family val="2"/>
      <scheme val="minor"/>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indexed="49"/>
        <bgColor indexed="64"/>
      </patternFill>
    </fill>
    <fill>
      <patternFill patternType="solid">
        <fgColor indexed="50"/>
        <bgColor indexed="64"/>
      </patternFill>
    </fill>
    <fill>
      <patternFill patternType="solid">
        <fgColor indexed="10"/>
        <bgColor indexed="64"/>
      </patternFill>
    </fill>
    <fill>
      <patternFill patternType="solid">
        <fgColor indexed="22"/>
        <bgColor indexed="64"/>
      </patternFill>
    </fill>
    <fill>
      <patternFill patternType="solid">
        <fgColor theme="4"/>
        <bgColor indexed="64"/>
      </patternFill>
    </fill>
    <fill>
      <patternFill patternType="solid">
        <fgColor theme="2"/>
        <bgColor indexed="64"/>
      </patternFill>
    </fill>
    <fill>
      <patternFill patternType="solid">
        <fgColor theme="6" tint="-0.249977111117893"/>
        <bgColor indexed="64"/>
      </patternFill>
    </fill>
  </fills>
  <borders count="28">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9">
    <xf numFmtId="0" fontId="0" fillId="0" borderId="0"/>
    <xf numFmtId="9" fontId="5"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16"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cellStyleXfs>
  <cellXfs count="647">
    <xf numFmtId="0" fontId="0" fillId="0" borderId="0" xfId="0"/>
    <xf numFmtId="0" fontId="7" fillId="0" borderId="0" xfId="0" applyFont="1"/>
    <xf numFmtId="0" fontId="8" fillId="0" borderId="0" xfId="0" applyFont="1"/>
    <xf numFmtId="0" fontId="9" fillId="5" borderId="0" xfId="0" applyFont="1" applyFill="1" applyProtection="1">
      <protection locked="0"/>
    </xf>
    <xf numFmtId="0" fontId="8" fillId="0" borderId="0" xfId="0" applyFont="1" applyProtection="1"/>
    <xf numFmtId="0" fontId="9" fillId="4" borderId="7" xfId="0" applyFont="1" applyFill="1" applyBorder="1" applyAlignment="1" applyProtection="1">
      <alignment horizontal="centerContinuous"/>
    </xf>
    <xf numFmtId="0" fontId="9" fillId="4" borderId="8" xfId="0" applyFont="1" applyFill="1" applyBorder="1" applyAlignment="1" applyProtection="1">
      <alignment horizontal="centerContinuous"/>
    </xf>
    <xf numFmtId="0" fontId="9" fillId="4" borderId="9" xfId="0" applyFont="1" applyFill="1" applyBorder="1" applyAlignment="1" applyProtection="1">
      <alignment horizontal="centerContinuous"/>
    </xf>
    <xf numFmtId="0" fontId="8" fillId="0" borderId="0" xfId="0" quotePrefix="1" applyFont="1" applyBorder="1" applyProtection="1"/>
    <xf numFmtId="0" fontId="8" fillId="0" borderId="0" xfId="0" applyFont="1" applyBorder="1" applyProtection="1"/>
    <xf numFmtId="164" fontId="8" fillId="5" borderId="0" xfId="1" applyNumberFormat="1" applyFont="1" applyFill="1" applyBorder="1" applyProtection="1"/>
    <xf numFmtId="0" fontId="8" fillId="0" borderId="0" xfId="0" applyFont="1" applyFill="1" applyBorder="1" applyProtection="1"/>
    <xf numFmtId="0" fontId="9" fillId="0" borderId="6" xfId="0" applyFont="1" applyBorder="1" applyProtection="1"/>
    <xf numFmtId="0" fontId="9" fillId="0" borderId="6" xfId="0" applyFont="1" applyFill="1" applyBorder="1" applyProtection="1"/>
    <xf numFmtId="0" fontId="9" fillId="0" borderId="0" xfId="0" applyFont="1" applyFill="1" applyBorder="1" applyProtection="1"/>
    <xf numFmtId="0" fontId="9" fillId="0" borderId="0" xfId="0" applyFont="1" applyProtection="1"/>
    <xf numFmtId="0" fontId="8" fillId="0" borderId="0" xfId="0" applyFont="1" applyBorder="1" applyAlignment="1" applyProtection="1">
      <alignment horizontal="right"/>
    </xf>
    <xf numFmtId="0" fontId="12" fillId="0" borderId="0" xfId="0" applyFont="1" applyProtection="1"/>
    <xf numFmtId="0" fontId="9" fillId="0" borderId="0" xfId="0" applyFont="1" applyBorder="1" applyProtection="1"/>
    <xf numFmtId="0" fontId="0" fillId="0" borderId="0" xfId="0" quotePrefix="1"/>
    <xf numFmtId="0" fontId="8" fillId="7" borderId="0" xfId="0" applyFont="1" applyFill="1"/>
    <xf numFmtId="0" fontId="8" fillId="0" borderId="0" xfId="0" applyFont="1" applyFill="1"/>
    <xf numFmtId="0" fontId="8" fillId="0" borderId="0" xfId="0" applyFont="1" applyFill="1" applyProtection="1"/>
    <xf numFmtId="164" fontId="8" fillId="2" borderId="3" xfId="0" applyNumberFormat="1" applyFont="1" applyFill="1" applyBorder="1" applyProtection="1"/>
    <xf numFmtId="3" fontId="8" fillId="2" borderId="3" xfId="0" applyNumberFormat="1" applyFont="1" applyFill="1" applyBorder="1" applyProtection="1"/>
    <xf numFmtId="0" fontId="9" fillId="0" borderId="0" xfId="0" applyFont="1"/>
    <xf numFmtId="0" fontId="14" fillId="0" borderId="0" xfId="0" applyFont="1"/>
    <xf numFmtId="0" fontId="8" fillId="0" borderId="0" xfId="0" applyFont="1" applyBorder="1" applyAlignment="1">
      <alignment horizontal="left" vertical="top" wrapText="1"/>
    </xf>
    <xf numFmtId="0" fontId="8" fillId="0" borderId="0" xfId="0" applyFont="1" applyBorder="1" applyAlignment="1">
      <alignment horizontal="left"/>
    </xf>
    <xf numFmtId="0" fontId="8" fillId="0" borderId="0" xfId="0" applyFont="1" applyBorder="1" applyAlignment="1">
      <alignment horizontal="center" vertical="top" wrapText="1"/>
    </xf>
    <xf numFmtId="0" fontId="8" fillId="0" borderId="3" xfId="0" applyFont="1" applyBorder="1" applyAlignment="1">
      <alignment vertical="top"/>
    </xf>
    <xf numFmtId="0" fontId="8" fillId="0" borderId="3" xfId="0" applyFont="1" applyBorder="1" applyAlignment="1">
      <alignment vertical="top" wrapText="1"/>
    </xf>
    <xf numFmtId="0" fontId="13" fillId="0" borderId="0" xfId="0" applyFont="1" applyFill="1"/>
    <xf numFmtId="164" fontId="8" fillId="5" borderId="3" xfId="1" applyNumberFormat="1" applyFont="1" applyFill="1" applyBorder="1" applyProtection="1">
      <protection locked="0"/>
    </xf>
    <xf numFmtId="165" fontId="8" fillId="5" borderId="0" xfId="0" applyNumberFormat="1" applyFont="1" applyFill="1" applyBorder="1" applyProtection="1">
      <protection locked="0"/>
    </xf>
    <xf numFmtId="165" fontId="8" fillId="0" borderId="0" xfId="0" applyNumberFormat="1" applyFont="1" applyFill="1" applyBorder="1" applyProtection="1">
      <protection locked="0"/>
    </xf>
    <xf numFmtId="10" fontId="8" fillId="5" borderId="0" xfId="1" applyNumberFormat="1" applyFont="1" applyFill="1" applyBorder="1" applyProtection="1">
      <protection locked="0"/>
    </xf>
    <xf numFmtId="0" fontId="15" fillId="0" borderId="0" xfId="0" applyFont="1" applyProtection="1"/>
    <xf numFmtId="3" fontId="8" fillId="5" borderId="0" xfId="1" applyNumberFormat="1" applyFont="1" applyFill="1" applyBorder="1" applyProtection="1">
      <protection locked="0"/>
    </xf>
    <xf numFmtId="0" fontId="18" fillId="0" borderId="0" xfId="0" applyFont="1" applyProtection="1"/>
    <xf numFmtId="1" fontId="18" fillId="0" borderId="0" xfId="0" applyNumberFormat="1" applyFont="1" applyProtection="1"/>
    <xf numFmtId="0" fontId="8" fillId="0" borderId="0" xfId="0" quotePrefix="1" applyFont="1" applyProtection="1"/>
    <xf numFmtId="0" fontId="21" fillId="2" borderId="20" xfId="4" applyFont="1" applyFill="1" applyBorder="1" applyAlignment="1">
      <alignment horizontal="center"/>
    </xf>
    <xf numFmtId="0" fontId="21" fillId="2" borderId="3" xfId="4" applyFont="1" applyFill="1" applyBorder="1" applyAlignment="1">
      <alignment horizontal="center"/>
    </xf>
    <xf numFmtId="167" fontId="8" fillId="5" borderId="0" xfId="0" applyNumberFormat="1" applyFont="1" applyFill="1" applyBorder="1" applyProtection="1">
      <protection locked="0"/>
    </xf>
    <xf numFmtId="8" fontId="9" fillId="0" borderId="14" xfId="0" applyNumberFormat="1" applyFont="1" applyBorder="1" applyProtection="1"/>
    <xf numFmtId="0" fontId="9" fillId="0" borderId="10" xfId="0" applyFont="1" applyBorder="1" applyAlignment="1" applyProtection="1">
      <alignment horizontal="center" wrapText="1"/>
    </xf>
    <xf numFmtId="0" fontId="9" fillId="0" borderId="13" xfId="0" applyFont="1" applyBorder="1" applyAlignment="1" applyProtection="1">
      <alignment horizontal="center" wrapText="1"/>
    </xf>
    <xf numFmtId="3" fontId="9" fillId="2" borderId="11" xfId="0" applyNumberFormat="1" applyFont="1" applyFill="1" applyBorder="1" applyAlignment="1" applyProtection="1">
      <alignment horizontal="center"/>
    </xf>
    <xf numFmtId="3" fontId="9" fillId="0" borderId="11" xfId="0" applyNumberFormat="1" applyFont="1" applyFill="1" applyBorder="1" applyAlignment="1" applyProtection="1">
      <alignment horizontal="center"/>
    </xf>
    <xf numFmtId="166" fontId="8" fillId="5" borderId="3" xfId="0" applyNumberFormat="1" applyFont="1" applyFill="1" applyBorder="1" applyProtection="1">
      <protection locked="0"/>
    </xf>
    <xf numFmtId="0" fontId="20" fillId="0" borderId="0" xfId="0" applyFont="1" applyProtection="1"/>
    <xf numFmtId="0" fontId="23" fillId="0" borderId="0" xfId="0" quotePrefix="1" applyFont="1"/>
    <xf numFmtId="165" fontId="9" fillId="3" borderId="6" xfId="0" applyNumberFormat="1" applyFont="1" applyFill="1" applyBorder="1" applyProtection="1">
      <protection locked="0"/>
    </xf>
    <xf numFmtId="165" fontId="9" fillId="2" borderId="0" xfId="0" applyNumberFormat="1" applyFont="1" applyFill="1" applyProtection="1"/>
    <xf numFmtId="165" fontId="8" fillId="0" borderId="0" xfId="0" applyNumberFormat="1" applyFont="1" applyProtection="1"/>
    <xf numFmtId="165" fontId="9" fillId="0" borderId="1" xfId="0" applyNumberFormat="1" applyFont="1" applyBorder="1" applyProtection="1"/>
    <xf numFmtId="0" fontId="8" fillId="0" borderId="6" xfId="0" applyFont="1" applyBorder="1" applyProtection="1"/>
    <xf numFmtId="0" fontId="8" fillId="0" borderId="6" xfId="0" quotePrefix="1" applyFont="1" applyBorder="1" applyProtection="1"/>
    <xf numFmtId="165" fontId="8" fillId="3" borderId="6" xfId="0" applyNumberFormat="1" applyFont="1" applyFill="1" applyBorder="1" applyProtection="1">
      <protection locked="0"/>
    </xf>
    <xf numFmtId="0" fontId="8" fillId="0" borderId="0" xfId="0" quotePrefix="1" applyFont="1" applyBorder="1" applyAlignment="1" applyProtection="1">
      <alignment vertical="center"/>
    </xf>
    <xf numFmtId="0" fontId="8" fillId="0" borderId="0" xfId="0" applyFont="1" applyBorder="1" applyAlignment="1" applyProtection="1">
      <alignment vertical="center"/>
    </xf>
    <xf numFmtId="165" fontId="8" fillId="5" borderId="0" xfId="0" applyNumberFormat="1" applyFont="1" applyFill="1" applyBorder="1" applyAlignment="1" applyProtection="1">
      <alignment vertical="center"/>
      <protection locked="0"/>
    </xf>
    <xf numFmtId="168" fontId="8" fillId="0" borderId="0" xfId="8" applyNumberFormat="1" applyFont="1" applyBorder="1" applyProtection="1"/>
    <xf numFmtId="0" fontId="8" fillId="6" borderId="3" xfId="0" applyFont="1" applyFill="1" applyBorder="1" applyAlignment="1">
      <alignment horizontal="center"/>
    </xf>
    <xf numFmtId="8" fontId="8" fillId="0" borderId="3" xfId="0" applyNumberFormat="1" applyFont="1" applyBorder="1" applyAlignment="1">
      <alignment horizontal="center" vertical="top"/>
    </xf>
    <xf numFmtId="8" fontId="8" fillId="0" borderId="3" xfId="0" applyNumberFormat="1" applyFont="1" applyBorder="1" applyAlignment="1">
      <alignment horizontal="left" vertical="top"/>
    </xf>
    <xf numFmtId="0" fontId="25" fillId="0" borderId="0" xfId="0" applyFont="1" applyProtection="1"/>
    <xf numFmtId="165" fontId="8" fillId="3" borderId="0" xfId="0" applyNumberFormat="1" applyFont="1" applyFill="1" applyBorder="1" applyProtection="1">
      <protection locked="0"/>
    </xf>
    <xf numFmtId="3" fontId="8" fillId="5" borderId="0" xfId="0" applyNumberFormat="1" applyFont="1" applyFill="1" applyProtection="1"/>
    <xf numFmtId="0" fontId="17" fillId="0" borderId="0" xfId="6" applyFont="1" applyAlignment="1" applyProtection="1">
      <alignment vertical="top"/>
    </xf>
    <xf numFmtId="0" fontId="17" fillId="8" borderId="0" xfId="6" applyFont="1" applyFill="1" applyAlignment="1" applyProtection="1">
      <alignment vertical="top"/>
    </xf>
    <xf numFmtId="0" fontId="8" fillId="8" borderId="0" xfId="0" applyFont="1" applyFill="1"/>
    <xf numFmtId="2" fontId="8" fillId="7" borderId="0" xfId="0" applyNumberFormat="1" applyFont="1" applyFill="1"/>
    <xf numFmtId="1" fontId="8" fillId="7" borderId="0" xfId="0" applyNumberFormat="1" applyFont="1" applyFill="1"/>
    <xf numFmtId="0" fontId="26" fillId="0" borderId="0" xfId="0" applyFont="1" applyProtection="1"/>
    <xf numFmtId="0" fontId="27" fillId="0" borderId="0" xfId="0" applyFont="1" applyProtection="1"/>
    <xf numFmtId="0" fontId="18" fillId="0" borderId="0" xfId="0" applyFont="1" applyAlignment="1" applyProtection="1">
      <alignment horizontal="left"/>
    </xf>
    <xf numFmtId="2" fontId="8" fillId="2" borderId="3" xfId="0" applyNumberFormat="1" applyFont="1" applyFill="1" applyBorder="1" applyProtection="1"/>
    <xf numFmtId="0" fontId="27" fillId="0" borderId="0" xfId="0" applyFont="1" applyAlignment="1" applyProtection="1">
      <alignment horizontal="left" vertical="top"/>
    </xf>
    <xf numFmtId="0" fontId="12" fillId="0" borderId="0" xfId="0" applyFont="1" applyFill="1" applyProtection="1"/>
    <xf numFmtId="170" fontId="8" fillId="5" borderId="3" xfId="0" applyNumberFormat="1" applyFont="1" applyFill="1" applyBorder="1" applyProtection="1">
      <protection locked="0"/>
    </xf>
    <xf numFmtId="165" fontId="8" fillId="0" borderId="0" xfId="0" applyNumberFormat="1" applyFont="1" applyFill="1" applyBorder="1" applyAlignment="1" applyProtection="1">
      <alignment horizontal="right"/>
      <protection locked="0"/>
    </xf>
    <xf numFmtId="0" fontId="8" fillId="0" borderId="0" xfId="0" applyFont="1" applyFill="1" applyAlignment="1">
      <alignment vertical="top"/>
    </xf>
    <xf numFmtId="0" fontId="9" fillId="0" borderId="0" xfId="0" applyFont="1" applyFill="1"/>
    <xf numFmtId="0" fontId="8" fillId="0" borderId="0" xfId="0" applyFont="1" applyFill="1" applyBorder="1" applyAlignment="1" applyProtection="1">
      <alignment horizontal="left"/>
    </xf>
    <xf numFmtId="0" fontId="11" fillId="0" borderId="0" xfId="0" applyFont="1" applyProtection="1"/>
    <xf numFmtId="43" fontId="8" fillId="0" borderId="0" xfId="7" applyFont="1" applyBorder="1" applyProtection="1"/>
    <xf numFmtId="165" fontId="8" fillId="3" borderId="3" xfId="0" applyNumberFormat="1" applyFont="1" applyFill="1" applyBorder="1" applyAlignment="1" applyProtection="1">
      <alignment horizontal="left"/>
      <protection locked="0"/>
    </xf>
    <xf numFmtId="0" fontId="9" fillId="6" borderId="3" xfId="0" applyFont="1" applyFill="1" applyBorder="1"/>
    <xf numFmtId="0" fontId="8" fillId="0" borderId="0" xfId="0" applyFont="1" applyAlignment="1"/>
    <xf numFmtId="0" fontId="8" fillId="0" borderId="0" xfId="0" applyFont="1" applyAlignment="1">
      <alignment vertical="top"/>
    </xf>
    <xf numFmtId="0" fontId="18" fillId="0" borderId="0" xfId="0" applyFont="1"/>
    <xf numFmtId="165" fontId="8" fillId="5" borderId="3" xfId="0" applyNumberFormat="1" applyFont="1" applyFill="1" applyBorder="1" applyAlignment="1" applyProtection="1">
      <alignment horizontal="left"/>
      <protection locked="0"/>
    </xf>
    <xf numFmtId="3" fontId="8" fillId="2" borderId="3" xfId="0" applyNumberFormat="1" applyFont="1" applyFill="1" applyBorder="1" applyAlignment="1" applyProtection="1">
      <alignment horizontal="left"/>
    </xf>
    <xf numFmtId="0" fontId="8" fillId="0" borderId="3" xfId="0" applyFont="1" applyBorder="1" applyAlignment="1">
      <alignment horizontal="left"/>
    </xf>
    <xf numFmtId="0" fontId="9" fillId="0" borderId="3" xfId="0" applyFont="1" applyBorder="1" applyAlignment="1">
      <alignment vertical="top"/>
    </xf>
    <xf numFmtId="0" fontId="9" fillId="0" borderId="3" xfId="0" applyFont="1" applyBorder="1" applyAlignment="1">
      <alignment vertical="top" wrapText="1"/>
    </xf>
    <xf numFmtId="0" fontId="9" fillId="0" borderId="3" xfId="0" applyFont="1" applyBorder="1" applyAlignment="1">
      <alignment horizontal="left" vertical="top" wrapText="1"/>
    </xf>
    <xf numFmtId="0" fontId="13" fillId="0" borderId="0" xfId="0" applyFont="1"/>
    <xf numFmtId="0" fontId="0" fillId="0" borderId="0" xfId="0" applyAlignment="1">
      <alignment vertical="top" wrapText="1"/>
    </xf>
    <xf numFmtId="0" fontId="28"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9" fillId="7" borderId="0" xfId="0" applyFont="1" applyFill="1"/>
    <xf numFmtId="0" fontId="8" fillId="7" borderId="0" xfId="0" applyFont="1" applyFill="1" applyAlignment="1">
      <alignment horizontal="right"/>
    </xf>
    <xf numFmtId="172" fontId="8" fillId="5" borderId="3" xfId="7" applyNumberFormat="1" applyFont="1" applyFill="1" applyBorder="1" applyProtection="1">
      <protection locked="0"/>
    </xf>
    <xf numFmtId="169" fontId="8" fillId="0" borderId="1" xfId="7" applyNumberFormat="1" applyFont="1" applyFill="1" applyBorder="1" applyProtection="1">
      <protection locked="0"/>
    </xf>
    <xf numFmtId="0" fontId="30" fillId="0" borderId="0" xfId="0" applyFont="1" applyFill="1"/>
    <xf numFmtId="171" fontId="8" fillId="5" borderId="3" xfId="0" applyNumberFormat="1" applyFont="1" applyFill="1" applyBorder="1"/>
    <xf numFmtId="0" fontId="8" fillId="7" borderId="0" xfId="0" applyFont="1" applyFill="1" applyAlignment="1">
      <alignment horizontal="left"/>
    </xf>
    <xf numFmtId="0" fontId="26" fillId="0" borderId="12" xfId="0" applyFont="1" applyBorder="1" applyAlignment="1" applyProtection="1">
      <alignment horizontal="right"/>
    </xf>
    <xf numFmtId="0" fontId="26" fillId="0" borderId="2" xfId="0" applyFont="1" applyBorder="1" applyAlignment="1" applyProtection="1">
      <alignment vertical="center" textRotation="90"/>
    </xf>
    <xf numFmtId="0" fontId="26" fillId="0" borderId="5" xfId="0" applyFont="1" applyBorder="1" applyAlignment="1" applyProtection="1">
      <alignment vertical="center" textRotation="90"/>
    </xf>
    <xf numFmtId="0" fontId="26" fillId="9" borderId="0" xfId="0" applyFont="1" applyFill="1" applyBorder="1" applyProtection="1"/>
    <xf numFmtId="0" fontId="9" fillId="9" borderId="0" xfId="0" applyFont="1" applyFill="1" applyBorder="1" applyProtection="1"/>
    <xf numFmtId="0" fontId="8" fillId="9" borderId="0" xfId="0" applyFont="1" applyFill="1" applyBorder="1" applyProtection="1"/>
    <xf numFmtId="0" fontId="26" fillId="9" borderId="18" xfId="0" applyFont="1" applyFill="1" applyBorder="1" applyProtection="1"/>
    <xf numFmtId="0" fontId="31" fillId="9" borderId="18" xfId="0" applyFont="1" applyFill="1" applyBorder="1" applyProtection="1"/>
    <xf numFmtId="0" fontId="9" fillId="9" borderId="18" xfId="0" applyFont="1" applyFill="1" applyBorder="1" applyProtection="1"/>
    <xf numFmtId="0" fontId="8" fillId="9" borderId="18" xfId="0" applyFont="1" applyFill="1" applyBorder="1" applyProtection="1"/>
    <xf numFmtId="0" fontId="29" fillId="9" borderId="0" xfId="0" applyFont="1" applyFill="1" applyBorder="1" applyProtection="1"/>
    <xf numFmtId="0" fontId="8" fillId="0" borderId="24" xfId="0" applyFont="1" applyBorder="1" applyAlignment="1" applyProtection="1">
      <alignment vertical="center"/>
    </xf>
    <xf numFmtId="0" fontId="8" fillId="0" borderId="6" xfId="0" applyFont="1" applyBorder="1" applyAlignment="1" applyProtection="1">
      <alignment vertical="center"/>
    </xf>
    <xf numFmtId="173" fontId="20" fillId="2" borderId="3" xfId="4" applyNumberFormat="1" applyFont="1" applyFill="1" applyBorder="1" applyAlignment="1">
      <alignment horizontal="right"/>
    </xf>
    <xf numFmtId="0" fontId="20" fillId="2" borderId="3" xfId="4" applyFont="1" applyFill="1" applyBorder="1" applyAlignment="1"/>
    <xf numFmtId="0" fontId="8" fillId="0" borderId="0" xfId="0" applyFont="1" applyAlignment="1" applyProtection="1">
      <alignment horizontal="right"/>
    </xf>
    <xf numFmtId="0" fontId="8"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8" fillId="5" borderId="25" xfId="0" applyNumberFormat="1" applyFont="1" applyFill="1" applyBorder="1" applyAlignment="1" applyProtection="1">
      <alignment horizontal="center"/>
      <protection locked="0"/>
    </xf>
    <xf numFmtId="0" fontId="0" fillId="0" borderId="0" xfId="0" applyAlignment="1">
      <alignment vertical="top"/>
    </xf>
    <xf numFmtId="44" fontId="0" fillId="0" borderId="0" xfId="8" applyFont="1"/>
    <xf numFmtId="44" fontId="0" fillId="10" borderId="0" xfId="0" applyNumberFormat="1" applyFill="1"/>
    <xf numFmtId="175" fontId="39" fillId="10" borderId="0" xfId="0" applyNumberFormat="1" applyFont="1" applyFill="1"/>
    <xf numFmtId="44" fontId="0" fillId="0" borderId="0" xfId="0" applyNumberFormat="1"/>
    <xf numFmtId="44" fontId="0" fillId="0" borderId="0" xfId="0" applyNumberFormat="1" applyFill="1"/>
    <xf numFmtId="0" fontId="0" fillId="0" borderId="0" xfId="0" applyFill="1"/>
    <xf numFmtId="0" fontId="39" fillId="10" borderId="0" xfId="0" applyFont="1" applyFill="1"/>
    <xf numFmtId="0" fontId="39" fillId="11" borderId="0" xfId="0" applyFont="1" applyFill="1"/>
    <xf numFmtId="0" fontId="40" fillId="0" borderId="0" xfId="0" applyFont="1"/>
    <xf numFmtId="2" fontId="39" fillId="10" borderId="0" xfId="0" applyNumberFormat="1" applyFont="1" applyFill="1" applyAlignment="1">
      <alignment horizontal="right"/>
    </xf>
    <xf numFmtId="170" fontId="0" fillId="0" borderId="0" xfId="0" applyNumberFormat="1"/>
    <xf numFmtId="2" fontId="39" fillId="11" borderId="0" xfId="0" applyNumberFormat="1" applyFont="1" applyFill="1" applyAlignment="1">
      <alignment horizontal="right"/>
    </xf>
    <xf numFmtId="0" fontId="39" fillId="0" borderId="0" xfId="0" applyFont="1" applyFill="1"/>
    <xf numFmtId="2" fontId="39" fillId="0" borderId="0" xfId="0" applyNumberFormat="1" applyFont="1" applyFill="1" applyAlignment="1">
      <alignment horizontal="right"/>
    </xf>
    <xf numFmtId="0" fontId="39" fillId="11" borderId="3" xfId="0" applyFont="1" applyFill="1" applyBorder="1" applyAlignment="1">
      <alignment horizontal="center"/>
    </xf>
    <xf numFmtId="0" fontId="39" fillId="13" borderId="3" xfId="0" applyFont="1" applyFill="1" applyBorder="1" applyAlignment="1">
      <alignment horizontal="center"/>
    </xf>
    <xf numFmtId="0" fontId="0" fillId="14" borderId="3" xfId="0" applyFill="1" applyBorder="1"/>
    <xf numFmtId="0" fontId="0" fillId="0" borderId="0" xfId="0" applyFill="1" applyBorder="1" applyAlignment="1">
      <alignment horizontal="center"/>
    </xf>
    <xf numFmtId="0" fontId="0" fillId="15" borderId="3" xfId="0" applyFill="1" applyBorder="1" applyAlignment="1">
      <alignment horizontal="center" wrapText="1"/>
    </xf>
    <xf numFmtId="44" fontId="0" fillId="15" borderId="3" xfId="8" applyFont="1" applyFill="1" applyBorder="1" applyAlignment="1">
      <alignment horizontal="center" wrapText="1"/>
    </xf>
    <xf numFmtId="0" fontId="0" fillId="16" borderId="3" xfId="0" applyFill="1" applyBorder="1" applyAlignment="1">
      <alignment horizontal="center" wrapText="1"/>
    </xf>
    <xf numFmtId="44" fontId="0" fillId="16" borderId="3" xfId="8" applyFont="1" applyFill="1" applyBorder="1" applyAlignment="1">
      <alignment horizontal="center" wrapText="1"/>
    </xf>
    <xf numFmtId="0" fontId="0" fillId="11" borderId="3" xfId="0" applyFill="1" applyBorder="1" applyAlignment="1">
      <alignment horizontal="center" wrapText="1"/>
    </xf>
    <xf numFmtId="44" fontId="0" fillId="11" borderId="3" xfId="0" applyNumberFormat="1" applyFill="1" applyBorder="1" applyAlignment="1">
      <alignment horizontal="center" wrapText="1"/>
    </xf>
    <xf numFmtId="44" fontId="0" fillId="13" borderId="3" xfId="0" applyNumberFormat="1" applyFill="1" applyBorder="1" applyAlignment="1">
      <alignment horizontal="center" wrapText="1"/>
    </xf>
    <xf numFmtId="0" fontId="0" fillId="14" borderId="3" xfId="0" applyFill="1" applyBorder="1" applyAlignment="1">
      <alignment horizontal="center" wrapText="1"/>
    </xf>
    <xf numFmtId="44" fontId="0" fillId="0" borderId="0" xfId="0" applyNumberFormat="1" applyFill="1" applyBorder="1" applyAlignment="1">
      <alignment horizontal="center" wrapText="1"/>
    </xf>
    <xf numFmtId="0" fontId="0" fillId="0" borderId="0" xfId="0" applyAlignment="1">
      <alignment horizontal="center" wrapText="1"/>
    </xf>
    <xf numFmtId="14" fontId="0" fillId="0" borderId="0" xfId="0" applyNumberFormat="1"/>
    <xf numFmtId="44" fontId="0" fillId="17" borderId="0" xfId="8" applyFont="1" applyFill="1"/>
    <xf numFmtId="1" fontId="0" fillId="0" borderId="0" xfId="0" applyNumberFormat="1"/>
    <xf numFmtId="2" fontId="0" fillId="0" borderId="0" xfId="0" applyNumberFormat="1"/>
    <xf numFmtId="9" fontId="0" fillId="0" borderId="0" xfId="0" applyNumberFormat="1"/>
    <xf numFmtId="44" fontId="0" fillId="0" borderId="0" xfId="8" applyFont="1" applyFill="1"/>
    <xf numFmtId="9" fontId="0" fillId="0" borderId="0" xfId="1" applyFont="1"/>
    <xf numFmtId="44" fontId="0" fillId="14" borderId="0" xfId="0" applyNumberFormat="1" applyFill="1"/>
    <xf numFmtId="44" fontId="41" fillId="0" borderId="0" xfId="8" applyFont="1"/>
    <xf numFmtId="1" fontId="41" fillId="0" borderId="0" xfId="0" applyNumberFormat="1" applyFont="1"/>
    <xf numFmtId="14" fontId="41" fillId="0" borderId="0" xfId="0" applyNumberFormat="1" applyFont="1"/>
    <xf numFmtId="0" fontId="41" fillId="0" borderId="0" xfId="0" applyFont="1"/>
    <xf numFmtId="0" fontId="42" fillId="0" borderId="0" xfId="0" applyFont="1"/>
    <xf numFmtId="14" fontId="40" fillId="0" borderId="0" xfId="0" applyNumberFormat="1" applyFont="1"/>
    <xf numFmtId="44" fontId="40" fillId="0" borderId="0" xfId="8" applyFont="1"/>
    <xf numFmtId="0" fontId="0" fillId="14" borderId="0" xfId="0" applyFill="1"/>
    <xf numFmtId="0" fontId="0" fillId="12" borderId="0" xfId="0" applyFill="1"/>
    <xf numFmtId="44" fontId="0" fillId="12" borderId="0" xfId="8" applyFont="1" applyFill="1"/>
    <xf numFmtId="0" fontId="0" fillId="10" borderId="0" xfId="0" applyFill="1"/>
    <xf numFmtId="166" fontId="0" fillId="10" borderId="0" xfId="0" applyNumberFormat="1" applyFill="1" applyAlignment="1"/>
    <xf numFmtId="0" fontId="0" fillId="11" borderId="0" xfId="0" applyFill="1"/>
    <xf numFmtId="44" fontId="0" fillId="11" borderId="0" xfId="0" applyNumberFormat="1" applyFill="1"/>
    <xf numFmtId="44" fontId="0" fillId="12" borderId="0" xfId="0" applyNumberFormat="1" applyFill="1"/>
    <xf numFmtId="166" fontId="39" fillId="10" borderId="0" xfId="0" applyNumberFormat="1" applyFont="1" applyFill="1" applyAlignment="1"/>
    <xf numFmtId="44" fontId="39" fillId="11" borderId="0" xfId="0" applyNumberFormat="1" applyFont="1" applyFill="1"/>
    <xf numFmtId="44" fontId="39" fillId="12" borderId="0" xfId="0" applyNumberFormat="1" applyFont="1" applyFill="1"/>
    <xf numFmtId="166" fontId="0" fillId="0" borderId="0" xfId="0" applyNumberFormat="1" applyFill="1" applyAlignment="1"/>
    <xf numFmtId="166" fontId="0" fillId="0" borderId="0" xfId="0" applyNumberFormat="1" applyAlignment="1"/>
    <xf numFmtId="166" fontId="39" fillId="0" borderId="0" xfId="0" applyNumberFormat="1" applyFont="1" applyFill="1" applyAlignment="1"/>
    <xf numFmtId="168" fontId="0" fillId="0" borderId="0" xfId="0" applyNumberFormat="1"/>
    <xf numFmtId="170" fontId="0" fillId="10" borderId="0" xfId="0" applyNumberFormat="1" applyFill="1"/>
    <xf numFmtId="168" fontId="28" fillId="10" borderId="0" xfId="0" applyNumberFormat="1" applyFont="1" applyFill="1"/>
    <xf numFmtId="1" fontId="0" fillId="0" borderId="0" xfId="1" applyNumberFormat="1" applyFont="1"/>
    <xf numFmtId="1" fontId="0" fillId="11" borderId="0" xfId="0" applyNumberFormat="1" applyFill="1"/>
    <xf numFmtId="1" fontId="0" fillId="10" borderId="0" xfId="0" applyNumberFormat="1" applyFill="1"/>
    <xf numFmtId="0" fontId="39" fillId="11" borderId="3" xfId="0" applyFont="1" applyFill="1" applyBorder="1" applyAlignment="1">
      <alignment horizontal="center"/>
    </xf>
    <xf numFmtId="166" fontId="0" fillId="0" borderId="0" xfId="0" applyNumberFormat="1"/>
    <xf numFmtId="0" fontId="0" fillId="0" borderId="10" xfId="0" applyBorder="1"/>
    <xf numFmtId="0" fontId="0" fillId="0" borderId="26" xfId="0" applyBorder="1"/>
    <xf numFmtId="0" fontId="0" fillId="0" borderId="11" xfId="0" applyBorder="1"/>
    <xf numFmtId="0" fontId="0" fillId="0" borderId="14" xfId="0" applyBorder="1"/>
    <xf numFmtId="0" fontId="0" fillId="0" borderId="12" xfId="0" applyBorder="1"/>
    <xf numFmtId="0" fontId="0" fillId="0" borderId="6" xfId="0" applyBorder="1"/>
    <xf numFmtId="1" fontId="0" fillId="0" borderId="13" xfId="0" applyNumberFormat="1" applyBorder="1"/>
    <xf numFmtId="1" fontId="0" fillId="0" borderId="14" xfId="0" applyNumberFormat="1" applyBorder="1"/>
    <xf numFmtId="168" fontId="0" fillId="0" borderId="0" xfId="8" applyNumberFormat="1" applyFont="1"/>
    <xf numFmtId="1" fontId="0" fillId="0" borderId="0" xfId="0" applyNumberFormat="1" applyBorder="1"/>
    <xf numFmtId="168" fontId="0" fillId="0" borderId="0" xfId="0" applyNumberFormat="1" applyBorder="1"/>
    <xf numFmtId="2" fontId="0" fillId="0" borderId="0" xfId="0" applyNumberFormat="1" applyBorder="1"/>
    <xf numFmtId="0" fontId="0" fillId="0" borderId="13" xfId="0" applyBorder="1"/>
    <xf numFmtId="0" fontId="0" fillId="0" borderId="27" xfId="0" applyBorder="1"/>
    <xf numFmtId="0" fontId="0" fillId="0" borderId="0" xfId="0" applyFill="1" applyBorder="1"/>
    <xf numFmtId="2" fontId="0" fillId="0" borderId="27" xfId="0" applyNumberFormat="1" applyBorder="1"/>
    <xf numFmtId="0" fontId="39" fillId="11" borderId="3" xfId="0" applyFont="1" applyFill="1" applyBorder="1" applyAlignment="1">
      <alignment horizontal="center"/>
    </xf>
    <xf numFmtId="0" fontId="39" fillId="11" borderId="3" xfId="0" applyFont="1" applyFill="1" applyBorder="1" applyAlignment="1">
      <alignment horizontal="center"/>
    </xf>
    <xf numFmtId="0" fontId="0" fillId="0" borderId="0" xfId="0" applyNumberFormat="1"/>
    <xf numFmtId="9" fontId="39" fillId="0" borderId="0" xfId="0" applyNumberFormat="1" applyFont="1" applyFill="1" applyAlignment="1">
      <alignment horizontal="right"/>
    </xf>
    <xf numFmtId="175" fontId="0" fillId="0" borderId="0" xfId="8" applyNumberFormat="1" applyFont="1"/>
    <xf numFmtId="0" fontId="39" fillId="18" borderId="3" xfId="0" applyFont="1" applyFill="1" applyBorder="1" applyAlignment="1">
      <alignment horizontal="center"/>
    </xf>
    <xf numFmtId="0" fontId="0" fillId="19" borderId="3" xfId="0" applyFill="1" applyBorder="1" applyAlignment="1">
      <alignment horizontal="center"/>
    </xf>
    <xf numFmtId="0" fontId="0" fillId="19" borderId="3" xfId="0" applyFill="1" applyBorder="1"/>
    <xf numFmtId="0" fontId="0" fillId="15" borderId="3" xfId="0" applyNumberFormat="1" applyFill="1" applyBorder="1" applyAlignment="1">
      <alignment horizontal="center" wrapText="1"/>
    </xf>
    <xf numFmtId="44" fontId="0" fillId="18" borderId="3" xfId="0" applyNumberFormat="1" applyFill="1" applyBorder="1" applyAlignment="1">
      <alignment horizontal="center" wrapText="1"/>
    </xf>
    <xf numFmtId="44" fontId="0" fillId="19" borderId="3" xfId="0" applyNumberFormat="1" applyFill="1" applyBorder="1" applyAlignment="1">
      <alignment horizontal="center" wrapText="1"/>
    </xf>
    <xf numFmtId="0" fontId="0" fillId="19" borderId="3" xfId="0" applyFill="1" applyBorder="1" applyAlignment="1">
      <alignment horizontal="center" wrapText="1"/>
    </xf>
    <xf numFmtId="17" fontId="0" fillId="2" borderId="0" xfId="0" applyNumberFormat="1" applyFill="1"/>
    <xf numFmtId="0" fontId="0" fillId="2" borderId="0" xfId="0" applyFill="1"/>
    <xf numFmtId="14" fontId="0" fillId="2" borderId="0" xfId="0" applyNumberFormat="1" applyFill="1"/>
    <xf numFmtId="0" fontId="0" fillId="2" borderId="0" xfId="0" applyNumberFormat="1" applyFill="1"/>
    <xf numFmtId="44" fontId="0" fillId="2" borderId="0" xfId="8" applyFont="1" applyFill="1"/>
    <xf numFmtId="1" fontId="0" fillId="2" borderId="0" xfId="0" applyNumberFormat="1" applyFill="1"/>
    <xf numFmtId="2" fontId="0" fillId="2" borderId="0" xfId="0" applyNumberFormat="1" applyFill="1"/>
    <xf numFmtId="9" fontId="0" fillId="2" borderId="0" xfId="0" applyNumberFormat="1" applyFill="1"/>
    <xf numFmtId="2" fontId="23" fillId="2" borderId="0" xfId="0" applyNumberFormat="1" applyFont="1" applyFill="1"/>
    <xf numFmtId="44" fontId="0" fillId="2" borderId="0" xfId="0" applyNumberFormat="1" applyFill="1"/>
    <xf numFmtId="9" fontId="0" fillId="2" borderId="0" xfId="1" applyFont="1" applyFill="1"/>
    <xf numFmtId="1" fontId="0" fillId="2" borderId="0" xfId="1" applyNumberFormat="1" applyFont="1" applyFill="1"/>
    <xf numFmtId="44" fontId="0" fillId="18" borderId="0" xfId="0" applyNumberFormat="1" applyFill="1"/>
    <xf numFmtId="44" fontId="0" fillId="19" borderId="0" xfId="0" applyNumberFormat="1" applyFill="1"/>
    <xf numFmtId="14" fontId="28" fillId="2" borderId="0" xfId="0" applyNumberFormat="1" applyFont="1" applyFill="1"/>
    <xf numFmtId="0" fontId="28" fillId="2" borderId="0" xfId="0" applyNumberFormat="1" applyFont="1" applyFill="1"/>
    <xf numFmtId="0" fontId="28" fillId="2" borderId="0" xfId="0" applyFont="1" applyFill="1"/>
    <xf numFmtId="9" fontId="28" fillId="2" borderId="0" xfId="0" applyNumberFormat="1" applyFont="1" applyFill="1"/>
    <xf numFmtId="17" fontId="0" fillId="3" borderId="0" xfId="0" applyNumberFormat="1" applyFill="1"/>
    <xf numFmtId="0" fontId="41" fillId="3" borderId="0" xfId="0" applyFont="1" applyFill="1"/>
    <xf numFmtId="0" fontId="42" fillId="3" borderId="0" xfId="0" applyFont="1" applyFill="1"/>
    <xf numFmtId="14" fontId="40" fillId="3" borderId="0" xfId="0" applyNumberFormat="1" applyFont="1" applyFill="1"/>
    <xf numFmtId="0" fontId="41" fillId="3" borderId="0" xfId="0" applyNumberFormat="1" applyFont="1" applyFill="1"/>
    <xf numFmtId="0" fontId="0" fillId="3" borderId="0" xfId="0" applyFill="1"/>
    <xf numFmtId="44" fontId="0" fillId="3" borderId="0" xfId="8" applyFont="1" applyFill="1"/>
    <xf numFmtId="2" fontId="0" fillId="3" borderId="0" xfId="0" applyNumberFormat="1" applyFill="1"/>
    <xf numFmtId="9" fontId="0" fillId="3" borderId="0" xfId="0" applyNumberFormat="1" applyFill="1"/>
    <xf numFmtId="44" fontId="0" fillId="3" borderId="0" xfId="0" applyNumberFormat="1" applyFill="1"/>
    <xf numFmtId="9" fontId="0" fillId="3" borderId="0" xfId="1" applyFont="1" applyFill="1"/>
    <xf numFmtId="1" fontId="0" fillId="3" borderId="0" xfId="1" applyNumberFormat="1" applyFont="1" applyFill="1"/>
    <xf numFmtId="14" fontId="41" fillId="3" borderId="0" xfId="0" applyNumberFormat="1" applyFont="1" applyFill="1"/>
    <xf numFmtId="2" fontId="23" fillId="3" borderId="0" xfId="0" applyNumberFormat="1" applyFont="1" applyFill="1"/>
    <xf numFmtId="14" fontId="45" fillId="3" borderId="0" xfId="0" applyNumberFormat="1" applyFont="1" applyFill="1"/>
    <xf numFmtId="0" fontId="45" fillId="3" borderId="0" xfId="0" applyNumberFormat="1" applyFont="1" applyFill="1"/>
    <xf numFmtId="0" fontId="45" fillId="3" borderId="0" xfId="0" applyFont="1" applyFill="1"/>
    <xf numFmtId="9" fontId="28" fillId="3" borderId="0" xfId="0" applyNumberFormat="1" applyFont="1" applyFill="1"/>
    <xf numFmtId="0" fontId="41" fillId="2" borderId="0" xfId="0" applyFont="1" applyFill="1"/>
    <xf numFmtId="0" fontId="42" fillId="2" borderId="0" xfId="0" applyFont="1" applyFill="1"/>
    <xf numFmtId="14" fontId="41" fillId="2" borderId="0" xfId="0" applyNumberFormat="1" applyFont="1" applyFill="1"/>
    <xf numFmtId="0" fontId="41" fillId="2" borderId="0" xfId="0" applyNumberFormat="1" applyFont="1" applyFill="1"/>
    <xf numFmtId="44" fontId="23" fillId="2" borderId="0" xfId="8" applyFont="1" applyFill="1"/>
    <xf numFmtId="0" fontId="23" fillId="2" borderId="0" xfId="0" applyFont="1" applyFill="1"/>
    <xf numFmtId="44" fontId="46" fillId="2" borderId="0" xfId="8" applyFont="1" applyFill="1"/>
    <xf numFmtId="14" fontId="45" fillId="2" borderId="0" xfId="0" applyNumberFormat="1" applyFont="1" applyFill="1"/>
    <xf numFmtId="0" fontId="45" fillId="2" borderId="0" xfId="0" applyNumberFormat="1" applyFont="1" applyFill="1"/>
    <xf numFmtId="0" fontId="45" fillId="2" borderId="0" xfId="0" applyFont="1" applyFill="1"/>
    <xf numFmtId="0" fontId="23" fillId="3" borderId="0" xfId="0" applyFont="1" applyFill="1"/>
    <xf numFmtId="4" fontId="23" fillId="3" borderId="0" xfId="0" applyNumberFormat="1" applyFont="1" applyFill="1"/>
    <xf numFmtId="9" fontId="23" fillId="3" borderId="0" xfId="0" applyNumberFormat="1" applyFont="1" applyFill="1"/>
    <xf numFmtId="44" fontId="23" fillId="3" borderId="0" xfId="8" applyFont="1" applyFill="1"/>
    <xf numFmtId="44" fontId="23" fillId="3" borderId="0" xfId="0" applyNumberFormat="1" applyFont="1" applyFill="1"/>
    <xf numFmtId="9" fontId="23" fillId="3" borderId="0" xfId="1" applyFont="1" applyFill="1"/>
    <xf numFmtId="1" fontId="23" fillId="3" borderId="0" xfId="1" applyNumberFormat="1" applyFont="1" applyFill="1"/>
    <xf numFmtId="0" fontId="46" fillId="3" borderId="0" xfId="0" applyFont="1" applyFill="1"/>
    <xf numFmtId="2" fontId="46" fillId="3" borderId="0" xfId="0" applyNumberFormat="1" applyFont="1" applyFill="1"/>
    <xf numFmtId="9" fontId="46" fillId="3" borderId="0" xfId="0" applyNumberFormat="1" applyFont="1" applyFill="1"/>
    <xf numFmtId="44" fontId="46" fillId="3" borderId="0" xfId="8" applyFont="1" applyFill="1"/>
    <xf numFmtId="9" fontId="23" fillId="2" borderId="0" xfId="0" applyNumberFormat="1" applyFont="1" applyFill="1"/>
    <xf numFmtId="44" fontId="23" fillId="2" borderId="0" xfId="0" applyNumberFormat="1" applyFont="1" applyFill="1"/>
    <xf numFmtId="9" fontId="23" fillId="2" borderId="0" xfId="1" applyFont="1" applyFill="1"/>
    <xf numFmtId="1" fontId="23" fillId="2" borderId="0" xfId="1" applyNumberFormat="1" applyFont="1" applyFill="1"/>
    <xf numFmtId="9" fontId="47" fillId="2" borderId="0" xfId="0" applyNumberFormat="1" applyFont="1" applyFill="1"/>
    <xf numFmtId="9" fontId="47" fillId="3" borderId="0" xfId="0" applyNumberFormat="1" applyFont="1" applyFill="1"/>
    <xf numFmtId="1" fontId="23" fillId="2" borderId="0" xfId="0" applyNumberFormat="1" applyFont="1" applyFill="1"/>
    <xf numFmtId="1" fontId="0" fillId="3" borderId="0" xfId="0" applyNumberFormat="1" applyFill="1"/>
    <xf numFmtId="14" fontId="23" fillId="2" borderId="0" xfId="0" applyNumberFormat="1" applyFont="1" applyFill="1"/>
    <xf numFmtId="0" fontId="40" fillId="2" borderId="0" xfId="0" applyFont="1" applyFill="1"/>
    <xf numFmtId="14" fontId="23" fillId="3" borderId="0" xfId="0" applyNumberFormat="1" applyFont="1" applyFill="1"/>
    <xf numFmtId="0" fontId="0" fillId="3" borderId="0" xfId="0" applyNumberFormat="1" applyFill="1"/>
    <xf numFmtId="14" fontId="0" fillId="3" borderId="0" xfId="0" applyNumberFormat="1" applyFill="1"/>
    <xf numFmtId="0" fontId="23" fillId="3" borderId="0" xfId="0" applyNumberFormat="1" applyFont="1" applyFill="1"/>
    <xf numFmtId="2" fontId="0" fillId="0" borderId="0" xfId="0" applyNumberFormat="1" applyFill="1"/>
    <xf numFmtId="9" fontId="0" fillId="0" borderId="0" xfId="1" applyFont="1" applyFill="1"/>
    <xf numFmtId="1" fontId="0" fillId="0" borderId="0" xfId="1" applyNumberFormat="1" applyFont="1" applyFill="1"/>
    <xf numFmtId="0" fontId="23" fillId="12" borderId="0" xfId="0" applyFont="1" applyFill="1"/>
    <xf numFmtId="0" fontId="23" fillId="12" borderId="0" xfId="0" applyNumberFormat="1" applyFont="1" applyFill="1"/>
    <xf numFmtId="0" fontId="28" fillId="12" borderId="0" xfId="0" applyFont="1" applyFill="1"/>
    <xf numFmtId="9" fontId="28" fillId="12" borderId="0" xfId="0" applyNumberFormat="1" applyFont="1" applyFill="1"/>
    <xf numFmtId="44" fontId="28" fillId="12" borderId="0" xfId="8" applyFont="1" applyFill="1"/>
    <xf numFmtId="0" fontId="28" fillId="10" borderId="0" xfId="0" applyFont="1" applyFill="1"/>
    <xf numFmtId="2" fontId="28" fillId="10" borderId="0" xfId="0" applyNumberFormat="1" applyFont="1" applyFill="1"/>
    <xf numFmtId="2" fontId="0" fillId="11" borderId="0" xfId="0" applyNumberFormat="1" applyFill="1"/>
    <xf numFmtId="44" fontId="28" fillId="18" borderId="0" xfId="0" applyNumberFormat="1" applyFont="1" applyFill="1"/>
    <xf numFmtId="44" fontId="47" fillId="14" borderId="0" xfId="0" applyNumberFormat="1" applyFont="1" applyFill="1"/>
    <xf numFmtId="0" fontId="0" fillId="12" borderId="0" xfId="0" applyNumberFormat="1" applyFill="1"/>
    <xf numFmtId="175" fontId="39" fillId="12" borderId="0" xfId="0" applyNumberFormat="1" applyFont="1" applyFill="1"/>
    <xf numFmtId="44" fontId="39" fillId="0" borderId="0" xfId="0" applyNumberFormat="1" applyFont="1" applyFill="1"/>
    <xf numFmtId="1" fontId="0" fillId="0" borderId="0" xfId="0" applyNumberFormat="1" applyFill="1"/>
    <xf numFmtId="9" fontId="28" fillId="12" borderId="0" xfId="8" applyNumberFormat="1" applyFont="1" applyFill="1"/>
    <xf numFmtId="170" fontId="0" fillId="0" borderId="0" xfId="0" applyNumberFormat="1" applyFill="1"/>
    <xf numFmtId="168" fontId="28" fillId="0" borderId="0" xfId="0" applyNumberFormat="1" applyFont="1" applyFill="1"/>
    <xf numFmtId="0" fontId="39" fillId="11" borderId="3" xfId="0" applyFont="1" applyFill="1" applyBorder="1" applyAlignment="1">
      <alignment horizontal="center"/>
    </xf>
    <xf numFmtId="3" fontId="8" fillId="0" borderId="0" xfId="0" applyNumberFormat="1" applyFont="1" applyProtection="1"/>
    <xf numFmtId="0" fontId="4" fillId="0" borderId="0" xfId="0" applyFont="1"/>
    <xf numFmtId="0" fontId="48" fillId="0" borderId="0" xfId="0" applyFont="1"/>
    <xf numFmtId="0" fontId="4" fillId="0" borderId="0" xfId="0" applyNumberFormat="1" applyFont="1"/>
    <xf numFmtId="44" fontId="4" fillId="0" borderId="0" xfId="8" applyFont="1"/>
    <xf numFmtId="44" fontId="4" fillId="10" borderId="0" xfId="0" applyNumberFormat="1" applyFont="1" applyFill="1"/>
    <xf numFmtId="44" fontId="4" fillId="0" borderId="0" xfId="0" applyNumberFormat="1" applyFont="1"/>
    <xf numFmtId="44" fontId="4" fillId="0" borderId="0" xfId="0" applyNumberFormat="1" applyFont="1" applyFill="1"/>
    <xf numFmtId="0" fontId="4" fillId="0" borderId="0" xfId="0" applyFont="1" applyFill="1"/>
    <xf numFmtId="170" fontId="4" fillId="0" borderId="0" xfId="0" applyNumberFormat="1" applyFont="1"/>
    <xf numFmtId="175" fontId="4" fillId="0" borderId="0" xfId="8" applyNumberFormat="1" applyFont="1"/>
    <xf numFmtId="0" fontId="39" fillId="0" borderId="0" xfId="0" applyFont="1" applyFill="1" applyBorder="1" applyAlignment="1">
      <alignment horizontal="center"/>
    </xf>
    <xf numFmtId="0" fontId="0" fillId="0" borderId="0" xfId="0" applyFill="1" applyBorder="1" applyAlignment="1">
      <alignment horizontal="center" wrapText="1"/>
    </xf>
    <xf numFmtId="2" fontId="0" fillId="0" borderId="0" xfId="0" applyNumberFormat="1" applyFill="1" applyBorder="1"/>
    <xf numFmtId="44" fontId="0" fillId="0" borderId="0" xfId="0" applyNumberFormat="1" applyFill="1" applyBorder="1"/>
    <xf numFmtId="9" fontId="0" fillId="0" borderId="0" xfId="1" applyFont="1" applyFill="1" applyBorder="1"/>
    <xf numFmtId="1" fontId="0" fillId="0" borderId="0" xfId="1" applyNumberFormat="1" applyFont="1" applyFill="1" applyBorder="1"/>
    <xf numFmtId="0" fontId="4" fillId="0" borderId="18" xfId="0" applyFont="1" applyBorder="1" applyAlignment="1">
      <alignment horizontal="center" wrapText="1"/>
    </xf>
    <xf numFmtId="0" fontId="4" fillId="15" borderId="3" xfId="0" applyFont="1" applyFill="1" applyBorder="1" applyAlignment="1">
      <alignment horizontal="center" wrapText="1"/>
    </xf>
    <xf numFmtId="0" fontId="4" fillId="15" borderId="3" xfId="0" applyNumberFormat="1" applyFont="1" applyFill="1" applyBorder="1" applyAlignment="1">
      <alignment horizontal="center" wrapText="1"/>
    </xf>
    <xf numFmtId="44" fontId="4" fillId="15" borderId="3" xfId="8" applyFont="1" applyFill="1" applyBorder="1" applyAlignment="1">
      <alignment horizontal="center" wrapText="1"/>
    </xf>
    <xf numFmtId="0" fontId="4" fillId="16" borderId="3" xfId="0" applyFont="1" applyFill="1" applyBorder="1" applyAlignment="1">
      <alignment horizontal="center" wrapText="1"/>
    </xf>
    <xf numFmtId="44" fontId="4" fillId="16" borderId="3" xfId="8" applyFont="1" applyFill="1" applyBorder="1" applyAlignment="1">
      <alignment horizontal="center" wrapText="1"/>
    </xf>
    <xf numFmtId="17" fontId="4" fillId="2" borderId="0" xfId="0" applyNumberFormat="1" applyFont="1" applyFill="1"/>
    <xf numFmtId="0" fontId="4" fillId="2" borderId="0" xfId="0" applyFont="1" applyFill="1"/>
    <xf numFmtId="14" fontId="4" fillId="2" borderId="0" xfId="0" applyNumberFormat="1" applyFont="1" applyFill="1"/>
    <xf numFmtId="0" fontId="4" fillId="2" borderId="0" xfId="0" applyNumberFormat="1" applyFont="1" applyFill="1"/>
    <xf numFmtId="9" fontId="39" fillId="2" borderId="0" xfId="0" applyNumberFormat="1" applyFont="1" applyFill="1"/>
    <xf numFmtId="44" fontId="4" fillId="2" borderId="0" xfId="8" applyFont="1" applyFill="1"/>
    <xf numFmtId="44" fontId="41" fillId="2" borderId="0" xfId="8" applyFont="1" applyFill="1"/>
    <xf numFmtId="1" fontId="4" fillId="2" borderId="0" xfId="0" applyNumberFormat="1" applyFont="1" applyFill="1"/>
    <xf numFmtId="2" fontId="4" fillId="2" borderId="0" xfId="0" applyNumberFormat="1" applyFont="1" applyFill="1"/>
    <xf numFmtId="9" fontId="4" fillId="2" borderId="0" xfId="0" applyNumberFormat="1" applyFont="1" applyFill="1"/>
    <xf numFmtId="2" fontId="41" fillId="2" borderId="0" xfId="0" applyNumberFormat="1" applyFont="1" applyFill="1"/>
    <xf numFmtId="17" fontId="4" fillId="2" borderId="0" xfId="0" applyNumberFormat="1" applyFont="1" applyFill="1" applyBorder="1"/>
    <xf numFmtId="0" fontId="4" fillId="2" borderId="0" xfId="0" applyFont="1" applyFill="1" applyBorder="1"/>
    <xf numFmtId="14" fontId="4" fillId="2" borderId="0" xfId="0" applyNumberFormat="1" applyFont="1" applyFill="1" applyBorder="1"/>
    <xf numFmtId="0" fontId="4" fillId="2" borderId="0" xfId="0" applyNumberFormat="1" applyFont="1" applyFill="1" applyBorder="1"/>
    <xf numFmtId="44" fontId="4" fillId="2" borderId="0" xfId="8" applyFont="1" applyFill="1" applyBorder="1"/>
    <xf numFmtId="1" fontId="4" fillId="2" borderId="0" xfId="0" applyNumberFormat="1" applyFont="1" applyFill="1" applyBorder="1"/>
    <xf numFmtId="2" fontId="4" fillId="2" borderId="0" xfId="0" applyNumberFormat="1" applyFont="1" applyFill="1" applyBorder="1"/>
    <xf numFmtId="9" fontId="4" fillId="2" borderId="0" xfId="0" applyNumberFormat="1" applyFont="1" applyFill="1" applyBorder="1"/>
    <xf numFmtId="2" fontId="41" fillId="2" borderId="0" xfId="0" applyNumberFormat="1" applyFont="1" applyFill="1" applyBorder="1"/>
    <xf numFmtId="0" fontId="4" fillId="0" borderId="0" xfId="0" applyFont="1" applyBorder="1"/>
    <xf numFmtId="17" fontId="39" fillId="2" borderId="0" xfId="0" applyNumberFormat="1" applyFont="1" applyFill="1" applyBorder="1"/>
    <xf numFmtId="0" fontId="39" fillId="2" borderId="0" xfId="0" applyFont="1" applyFill="1" applyBorder="1"/>
    <xf numFmtId="14" fontId="39" fillId="2" borderId="0" xfId="0" applyNumberFormat="1" applyFont="1" applyFill="1" applyBorder="1"/>
    <xf numFmtId="0" fontId="39" fillId="2" borderId="0" xfId="0" applyNumberFormat="1" applyFont="1" applyFill="1" applyBorder="1"/>
    <xf numFmtId="44" fontId="39" fillId="2" borderId="0" xfId="8" applyFont="1" applyFill="1" applyBorder="1"/>
    <xf numFmtId="0" fontId="39" fillId="20" borderId="0" xfId="0" applyFont="1" applyFill="1" applyBorder="1"/>
    <xf numFmtId="1" fontId="39" fillId="2" borderId="0" xfId="0" applyNumberFormat="1" applyFont="1" applyFill="1" applyBorder="1"/>
    <xf numFmtId="0" fontId="28" fillId="2" borderId="0" xfId="0" applyFont="1" applyFill="1" applyBorder="1"/>
    <xf numFmtId="2" fontId="28" fillId="2" borderId="0" xfId="0" applyNumberFormat="1" applyFont="1" applyFill="1" applyBorder="1"/>
    <xf numFmtId="44" fontId="28" fillId="2" borderId="0" xfId="0" applyNumberFormat="1" applyFont="1" applyFill="1" applyBorder="1"/>
    <xf numFmtId="9" fontId="28" fillId="2" borderId="0" xfId="1" applyFont="1" applyFill="1" applyBorder="1"/>
    <xf numFmtId="1" fontId="28" fillId="2" borderId="0" xfId="1" applyNumberFormat="1" applyFont="1" applyFill="1" applyBorder="1"/>
    <xf numFmtId="44" fontId="28" fillId="14" borderId="0" xfId="0" applyNumberFormat="1" applyFont="1" applyFill="1"/>
    <xf numFmtId="44" fontId="28" fillId="19" borderId="0" xfId="0" applyNumberFormat="1" applyFont="1" applyFill="1"/>
    <xf numFmtId="0" fontId="39" fillId="0" borderId="0" xfId="0" applyFont="1" applyBorder="1"/>
    <xf numFmtId="17" fontId="4" fillId="3" borderId="0" xfId="0" applyNumberFormat="1" applyFont="1" applyFill="1"/>
    <xf numFmtId="9" fontId="45" fillId="3" borderId="0" xfId="0" applyNumberFormat="1" applyFont="1" applyFill="1"/>
    <xf numFmtId="44" fontId="4" fillId="3" borderId="0" xfId="8" applyFont="1" applyFill="1"/>
    <xf numFmtId="44" fontId="41" fillId="3" borderId="0" xfId="8" applyFont="1" applyFill="1"/>
    <xf numFmtId="0" fontId="4" fillId="20" borderId="0" xfId="0" applyFont="1" applyFill="1"/>
    <xf numFmtId="1" fontId="4" fillId="3" borderId="0" xfId="0" applyNumberFormat="1" applyFont="1" applyFill="1"/>
    <xf numFmtId="0" fontId="4" fillId="3" borderId="0" xfId="0" applyFont="1" applyFill="1"/>
    <xf numFmtId="2" fontId="4" fillId="3" borderId="0" xfId="0" applyNumberFormat="1" applyFont="1" applyFill="1" applyBorder="1"/>
    <xf numFmtId="9" fontId="4" fillId="3" borderId="0" xfId="0" applyNumberFormat="1" applyFont="1" applyFill="1" applyBorder="1"/>
    <xf numFmtId="2" fontId="41" fillId="3" borderId="0" xfId="0" applyNumberFormat="1" applyFont="1" applyFill="1" applyBorder="1"/>
    <xf numFmtId="44" fontId="4" fillId="3" borderId="0" xfId="8" applyFont="1" applyFill="1" applyBorder="1"/>
    <xf numFmtId="0" fontId="0" fillId="3" borderId="0" xfId="0" applyFill="1" applyBorder="1"/>
    <xf numFmtId="2" fontId="0" fillId="3" borderId="0" xfId="0" applyNumberFormat="1" applyFill="1" applyBorder="1"/>
    <xf numFmtId="44" fontId="0" fillId="3" borderId="0" xfId="0" applyNumberFormat="1" applyFill="1" applyBorder="1"/>
    <xf numFmtId="9" fontId="0" fillId="3" borderId="0" xfId="1" applyFont="1" applyFill="1" applyBorder="1"/>
    <xf numFmtId="1" fontId="0" fillId="3" borderId="0" xfId="1" applyNumberFormat="1" applyFont="1" applyFill="1" applyBorder="1"/>
    <xf numFmtId="9" fontId="4" fillId="3" borderId="0" xfId="0" applyNumberFormat="1" applyFont="1" applyFill="1"/>
    <xf numFmtId="17" fontId="39" fillId="3" borderId="0" xfId="0" applyNumberFormat="1" applyFont="1" applyFill="1"/>
    <xf numFmtId="44" fontId="39" fillId="3" borderId="0" xfId="8" applyFont="1" applyFill="1"/>
    <xf numFmtId="0" fontId="39" fillId="20" borderId="0" xfId="0" applyFont="1" applyFill="1"/>
    <xf numFmtId="1" fontId="39" fillId="3" borderId="0" xfId="0" applyNumberFormat="1" applyFont="1" applyFill="1"/>
    <xf numFmtId="0" fontId="39" fillId="3" borderId="0" xfId="0" applyFont="1" applyFill="1"/>
    <xf numFmtId="0" fontId="28" fillId="3" borderId="0" xfId="0" applyFont="1" applyFill="1" applyBorder="1"/>
    <xf numFmtId="2" fontId="28" fillId="3" borderId="0" xfId="0" applyNumberFormat="1" applyFont="1" applyFill="1" applyBorder="1"/>
    <xf numFmtId="44" fontId="28" fillId="3" borderId="0" xfId="0" applyNumberFormat="1" applyFont="1" applyFill="1" applyBorder="1"/>
    <xf numFmtId="9" fontId="28" fillId="3" borderId="0" xfId="1" applyFont="1" applyFill="1" applyBorder="1"/>
    <xf numFmtId="1" fontId="28" fillId="3" borderId="0" xfId="1" applyNumberFormat="1" applyFont="1" applyFill="1" applyBorder="1"/>
    <xf numFmtId="0" fontId="39" fillId="0" borderId="0" xfId="0" applyFont="1"/>
    <xf numFmtId="0" fontId="40" fillId="20" borderId="0" xfId="0" applyFont="1" applyFill="1"/>
    <xf numFmtId="0" fontId="41" fillId="20" borderId="0" xfId="0" applyFont="1" applyFill="1"/>
    <xf numFmtId="1" fontId="40" fillId="2" borderId="0" xfId="0" applyNumberFormat="1" applyFont="1" applyFill="1"/>
    <xf numFmtId="0" fontId="0" fillId="2" borderId="0" xfId="0" applyFill="1" applyBorder="1"/>
    <xf numFmtId="2" fontId="0" fillId="2" borderId="0" xfId="0" applyNumberFormat="1" applyFill="1" applyBorder="1"/>
    <xf numFmtId="44" fontId="0" fillId="2" borderId="0" xfId="0" applyNumberFormat="1" applyFill="1" applyBorder="1"/>
    <xf numFmtId="9" fontId="0" fillId="2" borderId="0" xfId="1" applyFont="1" applyFill="1" applyBorder="1"/>
    <xf numFmtId="1" fontId="0" fillId="2" borderId="0" xfId="1" applyNumberFormat="1" applyFont="1" applyFill="1" applyBorder="1"/>
    <xf numFmtId="1" fontId="41" fillId="2" borderId="0" xfId="0" applyNumberFormat="1" applyFont="1" applyFill="1"/>
    <xf numFmtId="17" fontId="39" fillId="2" borderId="0" xfId="0" applyNumberFormat="1" applyFont="1" applyFill="1"/>
    <xf numFmtId="44" fontId="39" fillId="2" borderId="0" xfId="8" applyFont="1" applyFill="1"/>
    <xf numFmtId="1" fontId="39" fillId="2" borderId="0" xfId="0" applyNumberFormat="1" applyFont="1" applyFill="1"/>
    <xf numFmtId="0" fontId="39" fillId="2" borderId="0" xfId="0" applyFont="1" applyFill="1"/>
    <xf numFmtId="1" fontId="41" fillId="3" borderId="0" xfId="0" applyNumberFormat="1" applyFont="1" applyFill="1"/>
    <xf numFmtId="44" fontId="45" fillId="2" borderId="0" xfId="8" applyFont="1" applyFill="1"/>
    <xf numFmtId="44" fontId="45" fillId="3" borderId="0" xfId="8" applyFont="1" applyFill="1"/>
    <xf numFmtId="0" fontId="0" fillId="2" borderId="0" xfId="0" applyFont="1" applyFill="1" applyBorder="1"/>
    <xf numFmtId="2" fontId="0" fillId="2" borderId="0" xfId="0" applyNumberFormat="1" applyFont="1" applyFill="1" applyBorder="1"/>
    <xf numFmtId="44" fontId="0" fillId="2" borderId="0" xfId="0" applyNumberFormat="1" applyFont="1" applyFill="1" applyBorder="1"/>
    <xf numFmtId="9" fontId="5" fillId="2" borderId="0" xfId="1" applyFont="1" applyFill="1" applyBorder="1"/>
    <xf numFmtId="1" fontId="5" fillId="2" borderId="0" xfId="1" applyNumberFormat="1" applyFont="1" applyFill="1" applyBorder="1"/>
    <xf numFmtId="44" fontId="0" fillId="18" borderId="0" xfId="0" applyNumberFormat="1" applyFont="1" applyFill="1"/>
    <xf numFmtId="44" fontId="0" fillId="14" borderId="0" xfId="0" applyNumberFormat="1" applyFont="1" applyFill="1"/>
    <xf numFmtId="44" fontId="0" fillId="19" borderId="0" xfId="0" applyNumberFormat="1" applyFont="1" applyFill="1"/>
    <xf numFmtId="0" fontId="4" fillId="3" borderId="0" xfId="0" applyNumberFormat="1" applyFont="1" applyFill="1"/>
    <xf numFmtId="14" fontId="4" fillId="3" borderId="0" xfId="0" applyNumberFormat="1" applyFont="1" applyFill="1"/>
    <xf numFmtId="2" fontId="4" fillId="0" borderId="0" xfId="0" applyNumberFormat="1" applyFont="1"/>
    <xf numFmtId="44" fontId="4" fillId="0" borderId="0" xfId="8" applyFont="1" applyFill="1"/>
    <xf numFmtId="2" fontId="4" fillId="0" borderId="0" xfId="0" applyNumberFormat="1" applyFont="1" applyFill="1"/>
    <xf numFmtId="9" fontId="4" fillId="0" borderId="0" xfId="1" applyFont="1" applyFill="1"/>
    <xf numFmtId="1" fontId="4" fillId="0" borderId="0" xfId="1" applyNumberFormat="1" applyFont="1" applyFill="1"/>
    <xf numFmtId="0" fontId="41" fillId="12" borderId="0" xfId="0" applyFont="1" applyFill="1"/>
    <xf numFmtId="0" fontId="41" fillId="12" borderId="0" xfId="0" applyNumberFormat="1" applyFont="1" applyFill="1"/>
    <xf numFmtId="0" fontId="39" fillId="12" borderId="0" xfId="0" applyFont="1" applyFill="1"/>
    <xf numFmtId="9" fontId="39" fillId="12" borderId="0" xfId="0" applyNumberFormat="1" applyFont="1" applyFill="1"/>
    <xf numFmtId="44" fontId="39" fillId="12" borderId="0" xfId="8" applyFont="1" applyFill="1"/>
    <xf numFmtId="2" fontId="39" fillId="10" borderId="0" xfId="0" applyNumberFormat="1" applyFont="1" applyFill="1"/>
    <xf numFmtId="168" fontId="39" fillId="10" borderId="0" xfId="0" applyNumberFormat="1" applyFont="1" applyFill="1"/>
    <xf numFmtId="0" fontId="4" fillId="11" borderId="0" xfId="0" applyFont="1" applyFill="1"/>
    <xf numFmtId="2" fontId="4" fillId="11" borderId="0" xfId="0" applyNumberFormat="1" applyFont="1" applyFill="1"/>
    <xf numFmtId="44" fontId="4" fillId="11" borderId="0" xfId="0" applyNumberFormat="1" applyFont="1" applyFill="1"/>
    <xf numFmtId="0" fontId="4" fillId="11" borderId="0" xfId="0" applyNumberFormat="1" applyFont="1" applyFill="1"/>
    <xf numFmtId="44" fontId="39" fillId="18" borderId="0" xfId="0" applyNumberFormat="1" applyFont="1" applyFill="1"/>
    <xf numFmtId="44" fontId="45" fillId="14" borderId="0" xfId="0" applyNumberFormat="1" applyFont="1" applyFill="1"/>
    <xf numFmtId="44" fontId="4" fillId="19" borderId="0" xfId="0" applyNumberFormat="1" applyFont="1" applyFill="1"/>
    <xf numFmtId="9" fontId="4" fillId="0" borderId="0" xfId="0" applyNumberFormat="1" applyFont="1"/>
    <xf numFmtId="0" fontId="4" fillId="12" borderId="0" xfId="0" applyFont="1" applyFill="1"/>
    <xf numFmtId="0" fontId="4" fillId="12" borderId="0" xfId="0" applyNumberFormat="1" applyFont="1" applyFill="1"/>
    <xf numFmtId="0" fontId="4" fillId="10" borderId="0" xfId="0" applyFont="1" applyFill="1"/>
    <xf numFmtId="166" fontId="4" fillId="10" borderId="0" xfId="0" applyNumberFormat="1" applyFont="1" applyFill="1" applyAlignment="1"/>
    <xf numFmtId="166" fontId="4" fillId="0" borderId="0" xfId="0" applyNumberFormat="1" applyFont="1" applyFill="1" applyAlignment="1"/>
    <xf numFmtId="166" fontId="4" fillId="0" borderId="0" xfId="0" applyNumberFormat="1" applyFont="1" applyAlignment="1"/>
    <xf numFmtId="1" fontId="4" fillId="0" borderId="0" xfId="0" applyNumberFormat="1" applyFont="1" applyFill="1"/>
    <xf numFmtId="9" fontId="39" fillId="12" borderId="0" xfId="8" applyNumberFormat="1" applyFont="1" applyFill="1"/>
    <xf numFmtId="1" fontId="4" fillId="0" borderId="0" xfId="0" applyNumberFormat="1" applyFont="1" applyBorder="1"/>
    <xf numFmtId="170" fontId="4" fillId="0" borderId="0" xfId="0" applyNumberFormat="1" applyFont="1" applyFill="1"/>
    <xf numFmtId="168" fontId="4" fillId="0" borderId="0" xfId="0" applyNumberFormat="1" applyFont="1"/>
    <xf numFmtId="168" fontId="39" fillId="0" borderId="0" xfId="0" applyNumberFormat="1" applyFont="1" applyFill="1"/>
    <xf numFmtId="166" fontId="4" fillId="0" borderId="0" xfId="0" applyNumberFormat="1" applyFont="1"/>
    <xf numFmtId="0" fontId="50" fillId="0" borderId="0" xfId="0" applyFont="1" applyProtection="1"/>
    <xf numFmtId="1" fontId="4" fillId="0" borderId="0" xfId="0" applyNumberFormat="1" applyFont="1"/>
    <xf numFmtId="175" fontId="0" fillId="0" borderId="14" xfId="0" applyNumberFormat="1" applyBorder="1"/>
    <xf numFmtId="1" fontId="0" fillId="0" borderId="27" xfId="0" applyNumberFormat="1" applyBorder="1"/>
    <xf numFmtId="0" fontId="8" fillId="0" borderId="3" xfId="0" applyFont="1" applyFill="1" applyBorder="1" applyAlignment="1">
      <alignment vertical="top"/>
    </xf>
    <xf numFmtId="0" fontId="8" fillId="0" borderId="3" xfId="0" applyFont="1" applyFill="1" applyBorder="1" applyAlignment="1">
      <alignment vertical="top" wrapText="1"/>
    </xf>
    <xf numFmtId="8" fontId="8" fillId="0" borderId="3" xfId="0" applyNumberFormat="1" applyFont="1" applyFill="1" applyBorder="1" applyAlignment="1">
      <alignment horizontal="center" vertical="top"/>
    </xf>
    <xf numFmtId="0" fontId="39" fillId="11" borderId="3" xfId="0" applyFont="1" applyFill="1" applyBorder="1" applyAlignment="1">
      <alignment horizontal="center"/>
    </xf>
    <xf numFmtId="0" fontId="39" fillId="0" borderId="0" xfId="0" applyFont="1" applyFill="1" applyBorder="1" applyAlignment="1">
      <alignment horizontal="center"/>
    </xf>
    <xf numFmtId="0" fontId="3" fillId="0" borderId="0" xfId="0" applyFont="1"/>
    <xf numFmtId="0" fontId="3" fillId="0" borderId="0" xfId="0" applyNumberFormat="1" applyFont="1"/>
    <xf numFmtId="44" fontId="3" fillId="0" borderId="0" xfId="8" applyFont="1"/>
    <xf numFmtId="44" fontId="3" fillId="10" borderId="0" xfId="0" applyNumberFormat="1" applyFont="1" applyFill="1"/>
    <xf numFmtId="44" fontId="3" fillId="0" borderId="0" xfId="0" applyNumberFormat="1" applyFont="1"/>
    <xf numFmtId="44" fontId="3" fillId="0" borderId="0" xfId="0" applyNumberFormat="1" applyFont="1" applyFill="1"/>
    <xf numFmtId="0" fontId="3" fillId="0" borderId="0" xfId="0" applyFont="1" applyFill="1"/>
    <xf numFmtId="170" fontId="3" fillId="0" borderId="0" xfId="0" applyNumberFormat="1" applyFont="1"/>
    <xf numFmtId="175" fontId="3" fillId="0" borderId="0" xfId="8" applyNumberFormat="1" applyFont="1"/>
    <xf numFmtId="0" fontId="3" fillId="0" borderId="18" xfId="0" applyFont="1" applyBorder="1" applyAlignment="1">
      <alignment horizontal="center" wrapText="1"/>
    </xf>
    <xf numFmtId="0" fontId="3" fillId="15" borderId="3" xfId="0" applyFont="1" applyFill="1" applyBorder="1" applyAlignment="1">
      <alignment horizontal="center" wrapText="1"/>
    </xf>
    <xf numFmtId="0" fontId="3" fillId="15" borderId="3" xfId="0" applyNumberFormat="1" applyFont="1" applyFill="1" applyBorder="1" applyAlignment="1">
      <alignment horizontal="center" wrapText="1"/>
    </xf>
    <xf numFmtId="44" fontId="3" fillId="15" borderId="3" xfId="8" applyFont="1" applyFill="1" applyBorder="1" applyAlignment="1">
      <alignment horizontal="center" wrapText="1"/>
    </xf>
    <xf numFmtId="0" fontId="3" fillId="16" borderId="3" xfId="0" applyFont="1" applyFill="1" applyBorder="1" applyAlignment="1">
      <alignment horizontal="center" wrapText="1"/>
    </xf>
    <xf numFmtId="44" fontId="3" fillId="16" borderId="3" xfId="8" applyFont="1" applyFill="1" applyBorder="1" applyAlignment="1">
      <alignment horizontal="center" wrapText="1"/>
    </xf>
    <xf numFmtId="17" fontId="3" fillId="2" borderId="0" xfId="0" applyNumberFormat="1" applyFont="1" applyFill="1"/>
    <xf numFmtId="0" fontId="3" fillId="2" borderId="0" xfId="0" applyFont="1" applyFill="1"/>
    <xf numFmtId="14" fontId="3" fillId="2" borderId="0" xfId="0" applyNumberFormat="1" applyFont="1" applyFill="1"/>
    <xf numFmtId="0" fontId="3" fillId="2" borderId="0" xfId="0" applyNumberFormat="1" applyFont="1" applyFill="1"/>
    <xf numFmtId="44" fontId="3" fillId="2" borderId="0" xfId="8" applyFont="1" applyFill="1"/>
    <xf numFmtId="1" fontId="41" fillId="2" borderId="0" xfId="0" applyNumberFormat="1" applyFont="1" applyFill="1" applyBorder="1"/>
    <xf numFmtId="2" fontId="3" fillId="2" borderId="0" xfId="0" applyNumberFormat="1" applyFont="1" applyFill="1"/>
    <xf numFmtId="9" fontId="3" fillId="2" borderId="0" xfId="0" applyNumberFormat="1" applyFont="1" applyFill="1"/>
    <xf numFmtId="17" fontId="3" fillId="2" borderId="0" xfId="0" applyNumberFormat="1" applyFont="1" applyFill="1" applyBorder="1"/>
    <xf numFmtId="0" fontId="3" fillId="2" borderId="0" xfId="0" applyFont="1" applyFill="1" applyBorder="1"/>
    <xf numFmtId="14" fontId="3" fillId="2" borderId="0" xfId="0" applyNumberFormat="1" applyFont="1" applyFill="1" applyBorder="1"/>
    <xf numFmtId="0" fontId="3" fillId="2" borderId="0" xfId="0" applyNumberFormat="1" applyFont="1" applyFill="1" applyBorder="1"/>
    <xf numFmtId="44" fontId="3" fillId="2" borderId="0" xfId="8" applyFont="1" applyFill="1" applyBorder="1"/>
    <xf numFmtId="0" fontId="41" fillId="2" borderId="0" xfId="0" applyFont="1" applyFill="1" applyBorder="1"/>
    <xf numFmtId="2" fontId="3" fillId="2" borderId="0" xfId="0" applyNumberFormat="1" applyFont="1" applyFill="1" applyBorder="1"/>
    <xf numFmtId="9" fontId="3" fillId="2" borderId="0" xfId="0" applyNumberFormat="1" applyFont="1" applyFill="1" applyBorder="1"/>
    <xf numFmtId="0" fontId="46" fillId="2" borderId="0" xfId="0" applyFont="1" applyFill="1"/>
    <xf numFmtId="0" fontId="3" fillId="0" borderId="0" xfId="0" applyFont="1" applyBorder="1"/>
    <xf numFmtId="1" fontId="45" fillId="2" borderId="0" xfId="0" applyNumberFormat="1" applyFont="1" applyFill="1" applyBorder="1"/>
    <xf numFmtId="17" fontId="3" fillId="3" borderId="0" xfId="0" applyNumberFormat="1" applyFont="1" applyFill="1"/>
    <xf numFmtId="44" fontId="3" fillId="3" borderId="0" xfId="8" applyFont="1" applyFill="1"/>
    <xf numFmtId="2" fontId="3" fillId="3" borderId="0" xfId="0" applyNumberFormat="1" applyFont="1" applyFill="1" applyBorder="1"/>
    <xf numFmtId="9" fontId="3" fillId="3" borderId="0" xfId="0" applyNumberFormat="1" applyFont="1" applyFill="1" applyBorder="1"/>
    <xf numFmtId="44" fontId="3" fillId="3" borderId="0" xfId="8" applyFont="1" applyFill="1" applyBorder="1"/>
    <xf numFmtId="1" fontId="3" fillId="3" borderId="0" xfId="0" applyNumberFormat="1" applyFont="1" applyFill="1"/>
    <xf numFmtId="0" fontId="3" fillId="3" borderId="0" xfId="0" applyFont="1" applyFill="1"/>
    <xf numFmtId="9" fontId="3" fillId="3" borderId="0" xfId="0" applyNumberFormat="1" applyFont="1" applyFill="1"/>
    <xf numFmtId="1" fontId="45" fillId="2" borderId="0" xfId="0" applyNumberFormat="1" applyFont="1" applyFill="1"/>
    <xf numFmtId="1" fontId="45" fillId="3" borderId="0" xfId="0" applyNumberFormat="1" applyFont="1" applyFill="1"/>
    <xf numFmtId="0" fontId="40" fillId="3" borderId="0" xfId="0" applyFont="1" applyFill="1"/>
    <xf numFmtId="1" fontId="41" fillId="3" borderId="0" xfId="0" applyNumberFormat="1" applyFont="1" applyFill="1" applyBorder="1"/>
    <xf numFmtId="1" fontId="3" fillId="2" borderId="0" xfId="0" applyNumberFormat="1" applyFont="1" applyFill="1"/>
    <xf numFmtId="0" fontId="3" fillId="3" borderId="0" xfId="0" applyNumberFormat="1" applyFont="1" applyFill="1"/>
    <xf numFmtId="44" fontId="42" fillId="2" borderId="0" xfId="8" applyFont="1" applyFill="1"/>
    <xf numFmtId="14" fontId="3" fillId="3" borderId="0" xfId="0" applyNumberFormat="1" applyFont="1" applyFill="1"/>
    <xf numFmtId="44" fontId="42" fillId="3" borderId="0" xfId="8" applyFont="1" applyFill="1"/>
    <xf numFmtId="2" fontId="3" fillId="0" borderId="0" xfId="0" applyNumberFormat="1" applyFont="1"/>
    <xf numFmtId="44" fontId="3" fillId="0" borderId="0" xfId="8" applyFont="1" applyFill="1"/>
    <xf numFmtId="2" fontId="3" fillId="0" borderId="0" xfId="0" applyNumberFormat="1" applyFont="1" applyFill="1"/>
    <xf numFmtId="9" fontId="3" fillId="0" borderId="0" xfId="1" applyFont="1" applyFill="1"/>
    <xf numFmtId="1" fontId="3" fillId="0" borderId="0" xfId="1" applyNumberFormat="1" applyFont="1" applyFill="1"/>
    <xf numFmtId="0" fontId="3" fillId="11" borderId="0" xfId="0" applyFont="1" applyFill="1"/>
    <xf numFmtId="2" fontId="3" fillId="11" borderId="0" xfId="0" applyNumberFormat="1" applyFont="1" applyFill="1"/>
    <xf numFmtId="44" fontId="3" fillId="11" borderId="0" xfId="0" applyNumberFormat="1" applyFont="1" applyFill="1"/>
    <xf numFmtId="0" fontId="3" fillId="11" borderId="0" xfId="0" applyNumberFormat="1" applyFont="1" applyFill="1"/>
    <xf numFmtId="44" fontId="3" fillId="19" borderId="0" xfId="0" applyNumberFormat="1" applyFont="1" applyFill="1"/>
    <xf numFmtId="9" fontId="3" fillId="0" borderId="0" xfId="0" applyNumberFormat="1" applyFont="1"/>
    <xf numFmtId="0" fontId="3" fillId="12" borderId="0" xfId="0" applyFont="1" applyFill="1"/>
    <xf numFmtId="0" fontId="3" fillId="12" borderId="0" xfId="0" applyNumberFormat="1" applyFont="1" applyFill="1"/>
    <xf numFmtId="0" fontId="3" fillId="10" borderId="0" xfId="0" applyFont="1" applyFill="1"/>
    <xf numFmtId="166" fontId="3" fillId="10" borderId="0" xfId="0" applyNumberFormat="1" applyFont="1" applyFill="1" applyAlignment="1"/>
    <xf numFmtId="166" fontId="3" fillId="0" borderId="0" xfId="0" applyNumberFormat="1" applyFont="1" applyFill="1" applyAlignment="1"/>
    <xf numFmtId="166" fontId="3" fillId="0" borderId="0" xfId="0" applyNumberFormat="1" applyFont="1" applyAlignment="1"/>
    <xf numFmtId="1" fontId="3" fillId="0" borderId="0" xfId="0" applyNumberFormat="1" applyFont="1" applyFill="1"/>
    <xf numFmtId="1" fontId="3" fillId="0" borderId="0" xfId="0" applyNumberFormat="1" applyFont="1" applyBorder="1"/>
    <xf numFmtId="170" fontId="3" fillId="0" borderId="0" xfId="0" applyNumberFormat="1" applyFont="1" applyFill="1"/>
    <xf numFmtId="2" fontId="3" fillId="0" borderId="0" xfId="0" applyNumberFormat="1" applyFont="1" applyBorder="1"/>
    <xf numFmtId="168" fontId="3" fillId="0" borderId="0" xfId="0" applyNumberFormat="1" applyFont="1"/>
    <xf numFmtId="166" fontId="3" fillId="0" borderId="0" xfId="0" applyNumberFormat="1" applyFont="1"/>
    <xf numFmtId="1" fontId="3" fillId="0" borderId="0" xfId="0" applyNumberFormat="1" applyFont="1"/>
    <xf numFmtId="43" fontId="0" fillId="0" borderId="0" xfId="7" applyFont="1"/>
    <xf numFmtId="0" fontId="39" fillId="11" borderId="3" xfId="0" applyFont="1" applyFill="1" applyBorder="1" applyAlignment="1">
      <alignment horizontal="center"/>
    </xf>
    <xf numFmtId="0" fontId="39" fillId="0" borderId="0" xfId="0" applyFont="1" applyFill="1" applyBorder="1" applyAlignment="1">
      <alignment horizontal="center"/>
    </xf>
    <xf numFmtId="17" fontId="2" fillId="2" borderId="0" xfId="0" applyNumberFormat="1" applyFont="1" applyFill="1"/>
    <xf numFmtId="17" fontId="2" fillId="2" borderId="0" xfId="0" applyNumberFormat="1" applyFont="1" applyFill="1" applyBorder="1"/>
    <xf numFmtId="17" fontId="2" fillId="3" borderId="0" xfId="0" applyNumberFormat="1" applyFont="1" applyFill="1"/>
    <xf numFmtId="0" fontId="2" fillId="3" borderId="0" xfId="0" applyFont="1" applyFill="1"/>
    <xf numFmtId="0" fontId="2" fillId="2" borderId="0" xfId="0" applyFont="1" applyFill="1"/>
    <xf numFmtId="0" fontId="2" fillId="2" borderId="0" xfId="0" applyFont="1" applyFill="1" applyBorder="1"/>
    <xf numFmtId="14" fontId="2" fillId="2" borderId="0" xfId="0" applyNumberFormat="1" applyFont="1" applyFill="1"/>
    <xf numFmtId="14" fontId="2" fillId="2" borderId="0" xfId="0" applyNumberFormat="1" applyFont="1" applyFill="1" applyBorder="1"/>
    <xf numFmtId="14" fontId="2" fillId="3" borderId="0" xfId="0" applyNumberFormat="1" applyFont="1" applyFill="1"/>
    <xf numFmtId="0" fontId="2" fillId="2" borderId="0" xfId="0" applyNumberFormat="1" applyFont="1" applyFill="1"/>
    <xf numFmtId="0" fontId="2" fillId="2" borderId="0" xfId="0" applyNumberFormat="1" applyFont="1" applyFill="1" applyBorder="1"/>
    <xf numFmtId="0" fontId="2" fillId="3" borderId="0" xfId="0" applyNumberFormat="1" applyFont="1" applyFill="1"/>
    <xf numFmtId="9" fontId="2" fillId="2" borderId="0" xfId="0" applyNumberFormat="1" applyFont="1" applyFill="1"/>
    <xf numFmtId="44" fontId="2" fillId="2" borderId="0" xfId="8" applyFont="1" applyFill="1" applyBorder="1"/>
    <xf numFmtId="9" fontId="2" fillId="3" borderId="0" xfId="0" applyNumberFormat="1" applyFont="1" applyFill="1"/>
    <xf numFmtId="44" fontId="2" fillId="3" borderId="0" xfId="8" applyFont="1" applyFill="1"/>
    <xf numFmtId="44" fontId="2" fillId="2" borderId="0" xfId="8" applyFont="1" applyFill="1"/>
    <xf numFmtId="44" fontId="41" fillId="2" borderId="0" xfId="8" applyFont="1" applyFill="1" applyBorder="1"/>
    <xf numFmtId="44" fontId="45" fillId="2" borderId="0" xfId="8" applyFont="1" applyFill="1" applyBorder="1"/>
    <xf numFmtId="2" fontId="2" fillId="2" borderId="0" xfId="0" applyNumberFormat="1" applyFont="1" applyFill="1"/>
    <xf numFmtId="2" fontId="2" fillId="2" borderId="0" xfId="0" applyNumberFormat="1" applyFont="1" applyFill="1" applyBorder="1"/>
    <xf numFmtId="2" fontId="2" fillId="3" borderId="0" xfId="0" applyNumberFormat="1" applyFont="1" applyFill="1" applyBorder="1"/>
    <xf numFmtId="9" fontId="2" fillId="2" borderId="0" xfId="0" applyNumberFormat="1" applyFont="1" applyFill="1" applyBorder="1"/>
    <xf numFmtId="9" fontId="2" fillId="3" borderId="0" xfId="0" applyNumberFormat="1" applyFont="1" applyFill="1" applyBorder="1"/>
    <xf numFmtId="44" fontId="2" fillId="3" borderId="0" xfId="8" applyFont="1" applyFill="1" applyBorder="1"/>
    <xf numFmtId="1" fontId="2" fillId="3" borderId="0" xfId="0" applyNumberFormat="1" applyFont="1" applyFill="1"/>
    <xf numFmtId="1" fontId="39" fillId="10" borderId="0" xfId="0" applyNumberFormat="1" applyFont="1" applyFill="1"/>
    <xf numFmtId="9" fontId="3" fillId="11" borderId="0" xfId="0" applyNumberFormat="1" applyFont="1" applyFill="1"/>
    <xf numFmtId="1" fontId="0" fillId="11" borderId="13" xfId="0" applyNumberFormat="1" applyFill="1" applyBorder="1"/>
    <xf numFmtId="0" fontId="0" fillId="11" borderId="14" xfId="0" applyFill="1" applyBorder="1"/>
    <xf numFmtId="1" fontId="0" fillId="11" borderId="14" xfId="0" applyNumberFormat="1" applyFill="1" applyBorder="1"/>
    <xf numFmtId="1" fontId="0" fillId="11" borderId="27" xfId="0" applyNumberFormat="1" applyFill="1" applyBorder="1"/>
    <xf numFmtId="0" fontId="2" fillId="16" borderId="3" xfId="0" applyFont="1" applyFill="1" applyBorder="1" applyAlignment="1">
      <alignment horizontal="center" wrapText="1"/>
    </xf>
    <xf numFmtId="0" fontId="1" fillId="0" borderId="0" xfId="0" applyFont="1"/>
    <xf numFmtId="166" fontId="3" fillId="11" borderId="0" xfId="0" applyNumberFormat="1" applyFont="1" applyFill="1"/>
    <xf numFmtId="168" fontId="3" fillId="11" borderId="0" xfId="0" applyNumberFormat="1" applyFont="1" applyFill="1"/>
    <xf numFmtId="0" fontId="8" fillId="0" borderId="0" xfId="0" applyFont="1" applyAlignment="1">
      <alignment horizontal="left" vertical="top" wrapText="1"/>
    </xf>
    <xf numFmtId="0" fontId="8" fillId="6" borderId="3" xfId="0" applyFont="1" applyFill="1" applyBorder="1" applyAlignment="1">
      <alignment horizontal="center" vertical="center"/>
    </xf>
    <xf numFmtId="0" fontId="9" fillId="6" borderId="21" xfId="0" applyFont="1" applyFill="1" applyBorder="1" applyAlignment="1">
      <alignment horizontal="left" vertical="top" wrapText="1"/>
    </xf>
    <xf numFmtId="0" fontId="9" fillId="6" borderId="20" xfId="0" applyFont="1" applyFill="1" applyBorder="1" applyAlignment="1">
      <alignment horizontal="left" vertical="top" wrapText="1"/>
    </xf>
    <xf numFmtId="0" fontId="9" fillId="6" borderId="21" xfId="0" applyFont="1" applyFill="1" applyBorder="1" applyAlignment="1">
      <alignment horizontal="left" vertical="top"/>
    </xf>
    <xf numFmtId="0" fontId="9" fillId="6" borderId="20" xfId="0" applyFont="1" applyFill="1" applyBorder="1" applyAlignment="1">
      <alignment horizontal="left" vertical="top"/>
    </xf>
    <xf numFmtId="0" fontId="8" fillId="0" borderId="7" xfId="0" applyFont="1" applyBorder="1" applyAlignment="1">
      <alignment horizontal="left"/>
    </xf>
    <xf numFmtId="0" fontId="8" fillId="0" borderId="9" xfId="0" applyFont="1" applyBorder="1" applyAlignment="1">
      <alignment horizontal="left"/>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xf>
    <xf numFmtId="0" fontId="8" fillId="0" borderId="9" xfId="0" applyFont="1" applyBorder="1" applyAlignment="1">
      <alignment horizontal="left" vertical="top"/>
    </xf>
    <xf numFmtId="0" fontId="8" fillId="0" borderId="3" xfId="0" applyFont="1" applyBorder="1" applyAlignment="1">
      <alignment horizontal="center" vertical="top" wrapText="1"/>
    </xf>
    <xf numFmtId="0" fontId="8" fillId="0" borderId="15"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9" fillId="6" borderId="3" xfId="0" applyFont="1" applyFill="1" applyBorder="1" applyAlignment="1">
      <alignment horizontal="left" vertical="top"/>
    </xf>
    <xf numFmtId="0" fontId="8" fillId="0" borderId="3"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9" fillId="6" borderId="7" xfId="0" applyFont="1" applyFill="1" applyBorder="1" applyAlignment="1">
      <alignment horizontal="left" vertical="top"/>
    </xf>
    <xf numFmtId="0" fontId="9" fillId="6" borderId="9" xfId="0" applyFont="1" applyFill="1" applyBorder="1" applyAlignment="1">
      <alignment horizontal="left" vertical="top"/>
    </xf>
    <xf numFmtId="0" fontId="22" fillId="2" borderId="15" xfId="4" applyFont="1" applyFill="1" applyBorder="1" applyAlignment="1">
      <alignment horizontal="left" vertical="top"/>
    </xf>
    <xf numFmtId="0" fontId="22" fillId="2" borderId="16" xfId="4" applyFont="1" applyFill="1" applyBorder="1" applyAlignment="1">
      <alignment horizontal="left" vertical="top"/>
    </xf>
    <xf numFmtId="0" fontId="22" fillId="2" borderId="17" xfId="4" applyFont="1" applyFill="1" applyBorder="1" applyAlignment="1">
      <alignment horizontal="left" vertical="top"/>
    </xf>
    <xf numFmtId="0" fontId="22" fillId="2" borderId="19" xfId="4" applyFont="1" applyFill="1" applyBorder="1" applyAlignment="1">
      <alignment horizontal="left" vertical="top"/>
    </xf>
    <xf numFmtId="0" fontId="20" fillId="2" borderId="3" xfId="4" applyFont="1" applyFill="1" applyBorder="1" applyAlignment="1">
      <alignment horizontal="center" vertical="center" wrapText="1"/>
    </xf>
    <xf numFmtId="0" fontId="39" fillId="12" borderId="7" xfId="0" applyFont="1" applyFill="1" applyBorder="1" applyAlignment="1">
      <alignment horizontal="center"/>
    </xf>
    <xf numFmtId="0" fontId="39" fillId="12" borderId="8" xfId="0" applyFont="1" applyFill="1" applyBorder="1" applyAlignment="1">
      <alignment horizontal="center"/>
    </xf>
    <xf numFmtId="0" fontId="39" fillId="12" borderId="9" xfId="0" applyFont="1" applyFill="1" applyBorder="1" applyAlignment="1">
      <alignment horizontal="center"/>
    </xf>
    <xf numFmtId="0" fontId="39" fillId="10" borderId="7" xfId="0" applyFont="1" applyFill="1" applyBorder="1" applyAlignment="1">
      <alignment horizontal="center"/>
    </xf>
    <xf numFmtId="0" fontId="39" fillId="10" borderId="8" xfId="0" applyFont="1" applyFill="1" applyBorder="1" applyAlignment="1">
      <alignment horizontal="center"/>
    </xf>
    <xf numFmtId="0" fontId="39" fillId="10" borderId="9" xfId="0" applyFont="1" applyFill="1" applyBorder="1" applyAlignment="1">
      <alignment horizontal="center"/>
    </xf>
    <xf numFmtId="0" fontId="39" fillId="11" borderId="3" xfId="0" applyFont="1" applyFill="1" applyBorder="1" applyAlignment="1">
      <alignment horizontal="center"/>
    </xf>
    <xf numFmtId="0" fontId="39" fillId="0" borderId="0" xfId="0" applyFont="1" applyFill="1" applyBorder="1" applyAlignment="1">
      <alignment horizontal="center"/>
    </xf>
    <xf numFmtId="0" fontId="4" fillId="15" borderId="7" xfId="0" applyFont="1" applyFill="1" applyBorder="1" applyAlignment="1">
      <alignment horizontal="center" wrapText="1"/>
    </xf>
    <xf numFmtId="0" fontId="4" fillId="15" borderId="8" xfId="0" applyFont="1" applyFill="1" applyBorder="1" applyAlignment="1">
      <alignment horizontal="center" wrapText="1"/>
    </xf>
    <xf numFmtId="0" fontId="4" fillId="15" borderId="9" xfId="0" applyFont="1" applyFill="1" applyBorder="1" applyAlignment="1">
      <alignment horizontal="center" wrapText="1"/>
    </xf>
    <xf numFmtId="0" fontId="3" fillId="15" borderId="7" xfId="0" applyFont="1" applyFill="1" applyBorder="1" applyAlignment="1">
      <alignment horizontal="center" wrapText="1"/>
    </xf>
    <xf numFmtId="0" fontId="3" fillId="15" borderId="8" xfId="0" applyFont="1" applyFill="1" applyBorder="1" applyAlignment="1">
      <alignment horizontal="center" wrapText="1"/>
    </xf>
    <xf numFmtId="0" fontId="3" fillId="15" borderId="9" xfId="0" applyFont="1" applyFill="1" applyBorder="1" applyAlignment="1">
      <alignment horizontal="center" wrapText="1"/>
    </xf>
    <xf numFmtId="0" fontId="29" fillId="9" borderId="16" xfId="0" applyFont="1" applyFill="1" applyBorder="1" applyAlignment="1" applyProtection="1">
      <alignment horizontal="center" vertical="center" textRotation="90"/>
    </xf>
    <xf numFmtId="0" fontId="29" fillId="9" borderId="23" xfId="0" applyFont="1" applyFill="1" applyBorder="1" applyAlignment="1" applyProtection="1">
      <alignment horizontal="center" vertical="center" textRotation="90"/>
    </xf>
    <xf numFmtId="0" fontId="29" fillId="9" borderId="19" xfId="0" applyFont="1" applyFill="1" applyBorder="1" applyAlignment="1" applyProtection="1">
      <alignment horizontal="center" vertical="center" textRotation="90"/>
    </xf>
    <xf numFmtId="0" fontId="29" fillId="9" borderId="22" xfId="0" applyFont="1" applyFill="1" applyBorder="1" applyAlignment="1" applyProtection="1">
      <alignment horizontal="center" vertical="center" textRotation="90" wrapText="1"/>
    </xf>
    <xf numFmtId="0" fontId="29" fillId="9" borderId="20" xfId="0" applyFont="1" applyFill="1" applyBorder="1" applyAlignment="1" applyProtection="1">
      <alignment horizontal="center" vertical="center" textRotation="90" wrapText="1"/>
    </xf>
    <xf numFmtId="0" fontId="29" fillId="9" borderId="4" xfId="0" applyFont="1" applyFill="1" applyBorder="1" applyAlignment="1" applyProtection="1">
      <alignment horizontal="center" vertical="center" textRotation="90" wrapText="1"/>
    </xf>
    <xf numFmtId="0" fontId="29" fillId="9" borderId="5" xfId="0" applyFont="1" applyFill="1" applyBorder="1" applyAlignment="1" applyProtection="1">
      <alignment horizontal="center" vertical="center" textRotation="90" wrapText="1"/>
    </xf>
    <xf numFmtId="0" fontId="29" fillId="9" borderId="2"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51" fillId="0" borderId="0" xfId="0" applyFont="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perations_Depots\Programmes%20Group%20North\Tree%20Cutting\Harvesting\002%20Live%20Line%20Programme\000%20-%20LLH%20Cost%20Benefit%20tracker\Live%20harvesting%20Benefits%20Tracker%202016\Live%20Line%20Harvester%20Benefits%20Tracker%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ive%20Line%20Harvester%20Benefits%20Tracker%202017%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LH%20Tracker%20201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LTC%20Tracker%20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Ardmarnock"/>
      <sheetName val="Lix Toll"/>
      <sheetName val="Tillypronie Sawmill"/>
      <sheetName val="Tillypronie Coronation Wood"/>
      <sheetName val="Kinniard"/>
      <sheetName val="Achnaba"/>
      <sheetName val="Gartocharn"/>
      <sheetName val="Cnochan a Chorra"/>
      <sheetName val="Kyles View"/>
      <sheetName val="Hells Glen"/>
      <sheetName val="Ardoch"/>
      <sheetName val="Littleport"/>
      <sheetName val="Tiroran"/>
      <sheetName val="Dalchork"/>
      <sheetName val="Achfarry"/>
      <sheetName val="Shinnach"/>
      <sheetName val="Geny Guidance"/>
      <sheetName val="Ready Reckoner"/>
      <sheetName val="Sheet1"/>
      <sheetName val="Sheet2"/>
    </sheetNames>
    <sheetDataSet>
      <sheetData sheetId="0" refreshError="1"/>
      <sheetData sheetId="1">
        <row r="26">
          <cell r="G26">
            <v>43582</v>
          </cell>
        </row>
        <row r="32">
          <cell r="G32">
            <v>3244</v>
          </cell>
        </row>
      </sheetData>
      <sheetData sheetId="2"/>
      <sheetData sheetId="3">
        <row r="26">
          <cell r="G26">
            <v>46956.086857142858</v>
          </cell>
        </row>
        <row r="32">
          <cell r="G32">
            <v>26296</v>
          </cell>
        </row>
      </sheetData>
      <sheetData sheetId="4"/>
      <sheetData sheetId="5">
        <row r="26">
          <cell r="G26">
            <v>5402</v>
          </cell>
        </row>
        <row r="32">
          <cell r="G32">
            <v>5370</v>
          </cell>
        </row>
      </sheetData>
      <sheetData sheetId="6">
        <row r="26">
          <cell r="G26">
            <v>13045</v>
          </cell>
        </row>
        <row r="32">
          <cell r="G32">
            <v>2440</v>
          </cell>
        </row>
        <row r="33">
          <cell r="R33">
            <v>3800</v>
          </cell>
        </row>
      </sheetData>
      <sheetData sheetId="7"/>
      <sheetData sheetId="8">
        <row r="26">
          <cell r="G26">
            <v>71100</v>
          </cell>
        </row>
        <row r="32">
          <cell r="G32">
            <v>11560</v>
          </cell>
        </row>
      </sheetData>
      <sheetData sheetId="9">
        <row r="26">
          <cell r="G26">
            <v>30557.933714285715</v>
          </cell>
        </row>
        <row r="32">
          <cell r="G32">
            <v>7376</v>
          </cell>
        </row>
        <row r="33">
          <cell r="R33">
            <v>3000</v>
          </cell>
        </row>
      </sheetData>
      <sheetData sheetId="10">
        <row r="26">
          <cell r="G26">
            <v>59268.571428571428</v>
          </cell>
        </row>
        <row r="32">
          <cell r="G32">
            <v>9476</v>
          </cell>
        </row>
      </sheetData>
      <sheetData sheetId="11">
        <row r="26">
          <cell r="G26">
            <v>21036.909714285714</v>
          </cell>
        </row>
        <row r="32">
          <cell r="G32">
            <v>5120</v>
          </cell>
        </row>
      </sheetData>
      <sheetData sheetId="12">
        <row r="26">
          <cell r="G26">
            <v>14099.428571428572</v>
          </cell>
        </row>
        <row r="32">
          <cell r="G32">
            <v>7088</v>
          </cell>
        </row>
      </sheetData>
      <sheetData sheetId="13">
        <row r="26">
          <cell r="G26">
            <v>85888</v>
          </cell>
        </row>
        <row r="32">
          <cell r="G32">
            <v>17104</v>
          </cell>
        </row>
      </sheetData>
      <sheetData sheetId="14">
        <row r="26">
          <cell r="G26">
            <v>194420</v>
          </cell>
        </row>
        <row r="32">
          <cell r="G32">
            <v>22992</v>
          </cell>
        </row>
      </sheetData>
      <sheetData sheetId="15"/>
      <sheetData sheetId="16">
        <row r="26">
          <cell r="G26">
            <v>36359</v>
          </cell>
        </row>
        <row r="32">
          <cell r="G32">
            <v>3100</v>
          </cell>
        </row>
      </sheetData>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Conerock"/>
      <sheetName val="Balquidder"/>
      <sheetName val="Rannoch"/>
      <sheetName val="Kennelhill"/>
      <sheetName val="Ord"/>
      <sheetName val="Ormidale"/>
      <sheetName val="Balnafoich"/>
      <sheetName val="Ardlamont"/>
      <sheetName val="Barevan"/>
      <sheetName val="Killdrummy"/>
      <sheetName val="Lindsaig"/>
      <sheetName val="Ardlamont 2"/>
      <sheetName val="Inver"/>
      <sheetName val="Dalmally"/>
      <sheetName val="Roy Bridge"/>
      <sheetName val="Dalmally 2"/>
      <sheetName val="Duncrub"/>
      <sheetName val="Clachaig"/>
      <sheetName val="Rowardennon"/>
      <sheetName val="Culdrain"/>
      <sheetName val="Glen Eagles"/>
      <sheetName val="Dores"/>
      <sheetName val="Geny Guidance"/>
      <sheetName val="Ready Reckoner &amp; Data"/>
    </sheetNames>
    <sheetDataSet>
      <sheetData sheetId="0"/>
      <sheetData sheetId="1">
        <row r="26">
          <cell r="G26">
            <v>3722.7359999999999</v>
          </cell>
        </row>
        <row r="32">
          <cell r="G32">
            <v>2084</v>
          </cell>
        </row>
      </sheetData>
      <sheetData sheetId="2">
        <row r="26">
          <cell r="G26">
            <v>18917.736000000001</v>
          </cell>
        </row>
        <row r="32">
          <cell r="G32">
            <v>2900</v>
          </cell>
        </row>
      </sheetData>
      <sheetData sheetId="3">
        <row r="26">
          <cell r="G26">
            <v>49890.063999999998</v>
          </cell>
        </row>
        <row r="32">
          <cell r="G32">
            <v>10696</v>
          </cell>
        </row>
      </sheetData>
      <sheetData sheetId="4">
        <row r="26">
          <cell r="G26">
            <v>89664.265599999999</v>
          </cell>
        </row>
        <row r="32">
          <cell r="G32">
            <v>20256</v>
          </cell>
        </row>
      </sheetData>
      <sheetData sheetId="5">
        <row r="26">
          <cell r="G26">
            <v>88338.207999999999</v>
          </cell>
        </row>
        <row r="32">
          <cell r="G32">
            <v>7388</v>
          </cell>
        </row>
      </sheetData>
      <sheetData sheetId="6">
        <row r="26">
          <cell r="G26">
            <v>63925</v>
          </cell>
        </row>
        <row r="32">
          <cell r="G32">
            <v>8068</v>
          </cell>
        </row>
      </sheetData>
      <sheetData sheetId="7">
        <row r="26">
          <cell r="G26">
            <v>46298.399999999994</v>
          </cell>
        </row>
        <row r="32">
          <cell r="G32">
            <v>39480</v>
          </cell>
        </row>
      </sheetData>
      <sheetData sheetId="8">
        <row r="26">
          <cell r="G26">
            <v>34745.536</v>
          </cell>
        </row>
        <row r="32">
          <cell r="G32">
            <v>14344</v>
          </cell>
        </row>
      </sheetData>
      <sheetData sheetId="9">
        <row r="26">
          <cell r="G26">
            <v>64089.120000000003</v>
          </cell>
        </row>
        <row r="32">
          <cell r="G32">
            <v>9064</v>
          </cell>
        </row>
      </sheetData>
      <sheetData sheetId="10"/>
      <sheetData sheetId="11">
        <row r="26">
          <cell r="G26">
            <v>13985.912</v>
          </cell>
        </row>
        <row r="32">
          <cell r="G32">
            <v>2084</v>
          </cell>
        </row>
      </sheetData>
      <sheetData sheetId="12"/>
      <sheetData sheetId="13">
        <row r="26">
          <cell r="G26">
            <v>50648.68</v>
          </cell>
        </row>
        <row r="32">
          <cell r="G32">
            <v>5916</v>
          </cell>
        </row>
      </sheetData>
      <sheetData sheetId="14">
        <row r="26">
          <cell r="G26">
            <v>71995.132799999992</v>
          </cell>
        </row>
        <row r="32">
          <cell r="G32">
            <v>6432</v>
          </cell>
        </row>
      </sheetData>
      <sheetData sheetId="15">
        <row r="26">
          <cell r="G26">
            <v>57857.296000000002</v>
          </cell>
        </row>
        <row r="32">
          <cell r="G32">
            <v>5416</v>
          </cell>
        </row>
      </sheetData>
      <sheetData sheetId="16">
        <row r="26">
          <cell r="G26">
            <v>27298.3776</v>
          </cell>
        </row>
        <row r="32">
          <cell r="G32">
            <v>4832</v>
          </cell>
        </row>
      </sheetData>
      <sheetData sheetId="17">
        <row r="26">
          <cell r="G26">
            <v>31235.472000000002</v>
          </cell>
        </row>
        <row r="32">
          <cell r="G32">
            <v>3944</v>
          </cell>
        </row>
      </sheetData>
      <sheetData sheetId="18"/>
      <sheetData sheetId="19">
        <row r="26">
          <cell r="G26">
            <v>29753.648000000001</v>
          </cell>
        </row>
        <row r="32">
          <cell r="G32">
            <v>4712</v>
          </cell>
        </row>
      </sheetData>
      <sheetData sheetId="20">
        <row r="26">
          <cell r="G26">
            <v>1889.0944</v>
          </cell>
        </row>
        <row r="32">
          <cell r="G32">
            <v>1612</v>
          </cell>
        </row>
      </sheetData>
      <sheetData sheetId="21"/>
      <sheetData sheetId="22">
        <row r="26">
          <cell r="G26">
            <v>52880</v>
          </cell>
        </row>
        <row r="32">
          <cell r="G32">
            <v>4712</v>
          </cell>
        </row>
      </sheetData>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Dores"/>
      <sheetName val="Ardlamont"/>
      <sheetName val="Ford"/>
      <sheetName val="Cnoch Na Dail East"/>
      <sheetName val="Cnoch na Dail West"/>
      <sheetName val="Tarbert"/>
      <sheetName val="The Heights 33kV"/>
      <sheetName val="Garth Wood"/>
      <sheetName val="The Heights 11kV"/>
      <sheetName val="Attadale 33kV"/>
      <sheetName val=" Tomdoune 33kV"/>
      <sheetName val="Craibstone"/>
      <sheetName val="Ballmaha"/>
      <sheetName val="Sandbank"/>
      <sheetName val="Cruach Tarbiert"/>
      <sheetName val="Brenfield"/>
      <sheetName val="Bridge of Gaur 1"/>
      <sheetName val="Kinloch Rannoch"/>
      <sheetName val="Callander"/>
      <sheetName val="Bridge of Gaur 2"/>
      <sheetName val="Point Sands"/>
      <sheetName val="Tain"/>
      <sheetName val="Bute"/>
      <sheetName val="Geny Guidance"/>
      <sheetName val="Ready Reckoner &amp; Data"/>
    </sheetNames>
    <sheetDataSet>
      <sheetData sheetId="0" refreshError="1"/>
      <sheetData sheetId="1">
        <row r="9">
          <cell r="M9">
            <v>5</v>
          </cell>
        </row>
        <row r="10">
          <cell r="M10">
            <v>132</v>
          </cell>
        </row>
        <row r="12">
          <cell r="M12">
            <v>264</v>
          </cell>
        </row>
        <row r="13">
          <cell r="M13">
            <v>2112</v>
          </cell>
        </row>
        <row r="17">
          <cell r="M17">
            <v>234</v>
          </cell>
        </row>
        <row r="18">
          <cell r="M18">
            <v>8</v>
          </cell>
        </row>
        <row r="26">
          <cell r="G26">
            <v>22972.296000000002</v>
          </cell>
        </row>
        <row r="32">
          <cell r="G32">
            <v>7796</v>
          </cell>
        </row>
      </sheetData>
      <sheetData sheetId="2">
        <row r="9">
          <cell r="M9">
            <v>15</v>
          </cell>
        </row>
        <row r="10">
          <cell r="M10">
            <v>30</v>
          </cell>
        </row>
        <row r="12">
          <cell r="M12">
            <v>60</v>
          </cell>
        </row>
        <row r="13">
          <cell r="M13">
            <v>360</v>
          </cell>
        </row>
        <row r="17">
          <cell r="M17">
            <v>2472</v>
          </cell>
        </row>
        <row r="18">
          <cell r="M18">
            <v>6</v>
          </cell>
        </row>
        <row r="26">
          <cell r="G26">
            <v>45118.304000000004</v>
          </cell>
        </row>
        <row r="32">
          <cell r="G32">
            <v>14844</v>
          </cell>
        </row>
      </sheetData>
      <sheetData sheetId="3">
        <row r="9">
          <cell r="M9">
            <v>15</v>
          </cell>
        </row>
        <row r="10">
          <cell r="M10">
            <v>46</v>
          </cell>
        </row>
        <row r="12">
          <cell r="M12">
            <v>92</v>
          </cell>
        </row>
        <row r="13">
          <cell r="M13">
            <v>552</v>
          </cell>
        </row>
        <row r="17">
          <cell r="M17">
            <v>432</v>
          </cell>
        </row>
        <row r="18">
          <cell r="M18">
            <v>6</v>
          </cell>
        </row>
        <row r="26">
          <cell r="G26">
            <v>74270.09599999999</v>
          </cell>
        </row>
        <row r="32">
          <cell r="G32">
            <v>14844</v>
          </cell>
        </row>
      </sheetData>
      <sheetData sheetId="4">
        <row r="9">
          <cell r="M9">
            <v>18</v>
          </cell>
        </row>
        <row r="10">
          <cell r="M10">
            <v>147</v>
          </cell>
        </row>
        <row r="12">
          <cell r="M12">
            <v>294</v>
          </cell>
        </row>
        <row r="13">
          <cell r="M13">
            <v>2352</v>
          </cell>
        </row>
        <row r="17">
          <cell r="M17">
            <v>147</v>
          </cell>
        </row>
        <row r="18">
          <cell r="M18">
            <v>8</v>
          </cell>
        </row>
        <row r="26">
          <cell r="G26">
            <v>97515.849600000001</v>
          </cell>
        </row>
        <row r="32">
          <cell r="G32">
            <v>4744</v>
          </cell>
        </row>
      </sheetData>
      <sheetData sheetId="5">
        <row r="9">
          <cell r="M9">
            <v>15</v>
          </cell>
        </row>
        <row r="10">
          <cell r="M10">
            <v>147</v>
          </cell>
        </row>
        <row r="12">
          <cell r="M12">
            <v>294</v>
          </cell>
        </row>
        <row r="13">
          <cell r="M13">
            <v>2352</v>
          </cell>
        </row>
        <row r="17">
          <cell r="M17">
            <v>147</v>
          </cell>
        </row>
        <row r="18">
          <cell r="M18">
            <v>8</v>
          </cell>
        </row>
        <row r="26">
          <cell r="G26">
            <v>82088.207999999999</v>
          </cell>
        </row>
        <row r="32">
          <cell r="G32">
            <v>4444</v>
          </cell>
        </row>
      </sheetData>
      <sheetData sheetId="6">
        <row r="9">
          <cell r="M9">
            <v>5</v>
          </cell>
        </row>
        <row r="10">
          <cell r="M10">
            <v>3</v>
          </cell>
        </row>
        <row r="12">
          <cell r="M12">
            <v>6</v>
          </cell>
        </row>
        <row r="13">
          <cell r="M13">
            <v>36</v>
          </cell>
        </row>
        <row r="17">
          <cell r="M17">
            <v>722</v>
          </cell>
        </row>
        <row r="18">
          <cell r="M18">
            <v>8</v>
          </cell>
        </row>
        <row r="26">
          <cell r="G26">
            <v>16694</v>
          </cell>
        </row>
        <row r="32">
          <cell r="G32">
            <v>2356</v>
          </cell>
        </row>
      </sheetData>
      <sheetData sheetId="7">
        <row r="9">
          <cell r="M9">
            <v>18</v>
          </cell>
        </row>
        <row r="10">
          <cell r="M10">
            <v>0</v>
          </cell>
        </row>
        <row r="12">
          <cell r="M12">
            <v>0</v>
          </cell>
        </row>
        <row r="13">
          <cell r="M13">
            <v>0</v>
          </cell>
        </row>
        <row r="17">
          <cell r="M17">
            <v>1303</v>
          </cell>
        </row>
        <row r="18">
          <cell r="M18">
            <v>8</v>
          </cell>
        </row>
        <row r="26">
          <cell r="G26">
            <v>0</v>
          </cell>
        </row>
        <row r="32">
          <cell r="G32">
            <v>0</v>
          </cell>
        </row>
      </sheetData>
      <sheetData sheetId="8">
        <row r="9">
          <cell r="M9">
            <v>9</v>
          </cell>
        </row>
        <row r="12">
          <cell r="M12">
            <v>0</v>
          </cell>
        </row>
        <row r="13">
          <cell r="M13">
            <v>0</v>
          </cell>
        </row>
        <row r="17">
          <cell r="M17">
            <v>1560</v>
          </cell>
        </row>
        <row r="18">
          <cell r="M18">
            <v>8</v>
          </cell>
        </row>
        <row r="26">
          <cell r="G26">
            <v>0</v>
          </cell>
        </row>
        <row r="32">
          <cell r="G32">
            <v>0</v>
          </cell>
        </row>
      </sheetData>
      <sheetData sheetId="9">
        <row r="9">
          <cell r="M9">
            <v>20</v>
          </cell>
        </row>
        <row r="10">
          <cell r="M10">
            <v>83</v>
          </cell>
        </row>
        <row r="12">
          <cell r="M12">
            <v>166</v>
          </cell>
        </row>
        <row r="13">
          <cell r="M13">
            <v>996</v>
          </cell>
        </row>
        <row r="17">
          <cell r="M17">
            <v>1303</v>
          </cell>
        </row>
        <row r="18">
          <cell r="M18">
            <v>8</v>
          </cell>
        </row>
        <row r="26">
          <cell r="G26">
            <v>117378.24000000001</v>
          </cell>
        </row>
        <row r="32">
          <cell r="G32">
            <v>8120</v>
          </cell>
        </row>
      </sheetData>
      <sheetData sheetId="10">
        <row r="9">
          <cell r="M9">
            <v>10</v>
          </cell>
        </row>
        <row r="12">
          <cell r="M12">
            <v>36</v>
          </cell>
        </row>
        <row r="13">
          <cell r="M13">
            <v>216</v>
          </cell>
        </row>
        <row r="17">
          <cell r="M17">
            <v>350</v>
          </cell>
        </row>
        <row r="18">
          <cell r="M18">
            <v>4</v>
          </cell>
        </row>
        <row r="26">
          <cell r="G26">
            <v>11927.296</v>
          </cell>
        </row>
        <row r="32">
          <cell r="G32">
            <v>4016</v>
          </cell>
        </row>
      </sheetData>
      <sheetData sheetId="11">
        <row r="9">
          <cell r="M9">
            <v>10</v>
          </cell>
        </row>
        <row r="10">
          <cell r="M10">
            <v>12</v>
          </cell>
        </row>
        <row r="12">
          <cell r="M12">
            <v>24</v>
          </cell>
        </row>
        <row r="13">
          <cell r="M13">
            <v>144</v>
          </cell>
        </row>
        <row r="17">
          <cell r="M17">
            <v>462</v>
          </cell>
        </row>
        <row r="18">
          <cell r="M18">
            <v>4</v>
          </cell>
        </row>
        <row r="26">
          <cell r="G26">
            <v>17854.592000000001</v>
          </cell>
        </row>
        <row r="32">
          <cell r="G32">
            <v>4216</v>
          </cell>
        </row>
      </sheetData>
      <sheetData sheetId="12">
        <row r="9">
          <cell r="M9">
            <v>5</v>
          </cell>
        </row>
        <row r="12">
          <cell r="M12">
            <v>432</v>
          </cell>
        </row>
        <row r="13">
          <cell r="M13">
            <v>3456</v>
          </cell>
        </row>
        <row r="17">
          <cell r="M17">
            <v>614</v>
          </cell>
        </row>
        <row r="18">
          <cell r="M18">
            <v>8</v>
          </cell>
        </row>
        <row r="26">
          <cell r="G26">
            <v>39619.510399999999</v>
          </cell>
        </row>
        <row r="32">
          <cell r="G32">
            <v>7792</v>
          </cell>
        </row>
      </sheetData>
      <sheetData sheetId="13">
        <row r="9">
          <cell r="M9">
            <v>8</v>
          </cell>
        </row>
        <row r="10">
          <cell r="M10">
            <v>114</v>
          </cell>
        </row>
        <row r="12">
          <cell r="M12">
            <v>228</v>
          </cell>
        </row>
        <row r="13">
          <cell r="M13">
            <v>1368</v>
          </cell>
        </row>
        <row r="17">
          <cell r="M17">
            <v>0</v>
          </cell>
        </row>
        <row r="18">
          <cell r="M18">
            <v>0</v>
          </cell>
        </row>
        <row r="26">
          <cell r="G26">
            <v>30833.836800000001</v>
          </cell>
        </row>
        <row r="32">
          <cell r="G32">
            <v>4532</v>
          </cell>
        </row>
      </sheetData>
      <sheetData sheetId="14">
        <row r="9">
          <cell r="M9">
            <v>8</v>
          </cell>
        </row>
        <row r="10">
          <cell r="M10">
            <v>187</v>
          </cell>
        </row>
        <row r="12">
          <cell r="M12">
            <v>374</v>
          </cell>
        </row>
        <row r="13">
          <cell r="M13">
            <v>2992</v>
          </cell>
        </row>
        <row r="17">
          <cell r="M17">
            <v>0</v>
          </cell>
        </row>
        <row r="18">
          <cell r="M18">
            <v>0</v>
          </cell>
        </row>
        <row r="26">
          <cell r="G26">
            <v>26728.5664</v>
          </cell>
        </row>
        <row r="32">
          <cell r="G32">
            <v>4632</v>
          </cell>
        </row>
      </sheetData>
      <sheetData sheetId="15">
        <row r="9">
          <cell r="M9">
            <v>10</v>
          </cell>
        </row>
        <row r="10">
          <cell r="M10">
            <v>105</v>
          </cell>
        </row>
        <row r="12">
          <cell r="M12">
            <v>210</v>
          </cell>
        </row>
        <row r="13">
          <cell r="M13">
            <v>840</v>
          </cell>
        </row>
        <row r="17">
          <cell r="M17">
            <v>402</v>
          </cell>
        </row>
        <row r="18">
          <cell r="M18">
            <v>6</v>
          </cell>
        </row>
        <row r="26">
          <cell r="G26">
            <v>33699.120000000003</v>
          </cell>
        </row>
        <row r="32">
          <cell r="G32">
            <v>4372</v>
          </cell>
        </row>
      </sheetData>
      <sheetData sheetId="16">
        <row r="9">
          <cell r="M9">
            <v>5</v>
          </cell>
        </row>
        <row r="10">
          <cell r="M10">
            <v>8</v>
          </cell>
        </row>
        <row r="12">
          <cell r="M12">
            <v>16</v>
          </cell>
        </row>
        <row r="13">
          <cell r="M13">
            <v>512</v>
          </cell>
        </row>
        <row r="17">
          <cell r="M17">
            <v>187</v>
          </cell>
        </row>
        <row r="18">
          <cell r="M18">
            <v>6</v>
          </cell>
        </row>
        <row r="26">
          <cell r="G26">
            <v>5945.4719999999998</v>
          </cell>
        </row>
        <row r="32">
          <cell r="G32">
            <v>2900</v>
          </cell>
        </row>
      </sheetData>
      <sheetData sheetId="17">
        <row r="9">
          <cell r="M9">
            <v>20</v>
          </cell>
        </row>
        <row r="10">
          <cell r="M10">
            <v>38</v>
          </cell>
        </row>
        <row r="12">
          <cell r="M12">
            <v>76</v>
          </cell>
        </row>
        <row r="13">
          <cell r="M13">
            <v>456</v>
          </cell>
        </row>
        <row r="17">
          <cell r="M17">
            <v>0</v>
          </cell>
        </row>
        <row r="18">
          <cell r="M18">
            <v>0</v>
          </cell>
        </row>
        <row r="26">
          <cell r="G26">
            <v>83783.775999999998</v>
          </cell>
        </row>
        <row r="32">
          <cell r="G32">
            <v>4400</v>
          </cell>
        </row>
      </sheetData>
      <sheetData sheetId="18">
        <row r="9">
          <cell r="M9">
            <v>5</v>
          </cell>
        </row>
        <row r="10">
          <cell r="M10">
            <v>52</v>
          </cell>
        </row>
        <row r="12">
          <cell r="M12">
            <v>104</v>
          </cell>
        </row>
        <row r="13">
          <cell r="M13">
            <v>832</v>
          </cell>
        </row>
        <row r="26">
          <cell r="G26">
            <v>20641.416000000001</v>
          </cell>
        </row>
        <row r="32">
          <cell r="G32">
            <v>7796</v>
          </cell>
        </row>
      </sheetData>
      <sheetData sheetId="19">
        <row r="9">
          <cell r="M9">
            <v>5</v>
          </cell>
        </row>
        <row r="10">
          <cell r="M10">
            <v>12</v>
          </cell>
        </row>
        <row r="12">
          <cell r="M12">
            <v>24</v>
          </cell>
        </row>
        <row r="13">
          <cell r="M13">
            <v>1152</v>
          </cell>
        </row>
        <row r="17">
          <cell r="M17">
            <v>396</v>
          </cell>
        </row>
        <row r="18">
          <cell r="M18">
            <v>4</v>
          </cell>
        </row>
        <row r="26">
          <cell r="G26">
            <v>5204.5600000000004</v>
          </cell>
        </row>
        <row r="32">
          <cell r="G32">
            <v>2900</v>
          </cell>
        </row>
      </sheetData>
      <sheetData sheetId="20">
        <row r="9">
          <cell r="M9">
            <v>10</v>
          </cell>
        </row>
        <row r="10">
          <cell r="M10">
            <v>38</v>
          </cell>
        </row>
        <row r="12">
          <cell r="M12">
            <v>76</v>
          </cell>
        </row>
        <row r="13">
          <cell r="M13">
            <v>456</v>
          </cell>
        </row>
        <row r="17">
          <cell r="M17">
            <v>0</v>
          </cell>
        </row>
        <row r="18">
          <cell r="M18">
            <v>0</v>
          </cell>
        </row>
        <row r="26">
          <cell r="G26">
            <v>23781.887999999999</v>
          </cell>
        </row>
        <row r="32">
          <cell r="G32">
            <v>5032</v>
          </cell>
        </row>
      </sheetData>
      <sheetData sheetId="21">
        <row r="9">
          <cell r="M9">
            <v>10</v>
          </cell>
        </row>
        <row r="10">
          <cell r="M10">
            <v>147</v>
          </cell>
        </row>
        <row r="12">
          <cell r="M12">
            <v>294</v>
          </cell>
        </row>
        <row r="13">
          <cell r="M13">
            <v>7938</v>
          </cell>
        </row>
        <row r="17">
          <cell r="M17">
            <v>162</v>
          </cell>
        </row>
        <row r="18">
          <cell r="M18">
            <v>8</v>
          </cell>
        </row>
        <row r="26">
          <cell r="G26">
            <v>52730.472000000002</v>
          </cell>
        </row>
        <row r="32">
          <cell r="G32">
            <v>3944</v>
          </cell>
        </row>
      </sheetData>
      <sheetData sheetId="22">
        <row r="9">
          <cell r="M9">
            <v>15</v>
          </cell>
        </row>
        <row r="10">
          <cell r="M10">
            <v>28</v>
          </cell>
        </row>
        <row r="12">
          <cell r="M12">
            <v>56</v>
          </cell>
        </row>
        <row r="13">
          <cell r="M13">
            <v>336</v>
          </cell>
        </row>
        <row r="17">
          <cell r="M17">
            <v>2543</v>
          </cell>
        </row>
        <row r="18">
          <cell r="M18">
            <v>6</v>
          </cell>
        </row>
        <row r="32">
          <cell r="G32">
            <v>5532</v>
          </cell>
        </row>
      </sheetData>
      <sheetData sheetId="23">
        <row r="9">
          <cell r="M9">
            <v>5</v>
          </cell>
        </row>
        <row r="10">
          <cell r="M10">
            <v>45</v>
          </cell>
        </row>
        <row r="12">
          <cell r="M12">
            <v>90</v>
          </cell>
        </row>
        <row r="13">
          <cell r="M13">
            <v>360</v>
          </cell>
        </row>
        <row r="17">
          <cell r="M17">
            <v>372</v>
          </cell>
        </row>
        <row r="18">
          <cell r="M18">
            <v>4</v>
          </cell>
        </row>
        <row r="26">
          <cell r="G26">
            <v>34824.16457142857</v>
          </cell>
        </row>
        <row r="32">
          <cell r="G32">
            <v>4532</v>
          </cell>
        </row>
      </sheetData>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Dallinlongart"/>
      <sheetName val="Tain"/>
      <sheetName val="Upper sonachan"/>
      <sheetName val="Keppochan"/>
      <sheetName val="Invershin"/>
      <sheetName val="Coupar"/>
      <sheetName val="Panmure"/>
      <sheetName val="Gateside"/>
      <sheetName val="Strone"/>
      <sheetName val="Lindsaig"/>
      <sheetName val="Trinloist"/>
      <sheetName val="Alan Grange"/>
      <sheetName val="Dunalister"/>
      <sheetName val="Strathdon"/>
      <sheetName val="Tynedrum"/>
      <sheetName val="Dunoon"/>
      <sheetName val="Tummel Bridge"/>
      <sheetName val="Knockbahn"/>
      <sheetName val="Delshangie"/>
      <sheetName val="Tummel Windrisk"/>
      <sheetName val="Wolfhill Transmission"/>
      <sheetName val="Abuthnot"/>
      <sheetName val="Arran"/>
      <sheetName val="Geny Guidance"/>
      <sheetName val="Ready Reckoner &amp; Data"/>
      <sheetName val="Sheet7"/>
      <sheetName val="Sheet8"/>
    </sheetNames>
    <sheetDataSet>
      <sheetData sheetId="0">
        <row r="14">
          <cell r="M14">
            <v>420</v>
          </cell>
          <cell r="N14">
            <v>21</v>
          </cell>
          <cell r="O14">
            <v>840</v>
          </cell>
          <cell r="P14">
            <v>1680</v>
          </cell>
          <cell r="Q14">
            <v>144798</v>
          </cell>
          <cell r="R14">
            <v>20724</v>
          </cell>
          <cell r="AC14">
            <v>1340</v>
          </cell>
          <cell r="AD14">
            <v>8</v>
          </cell>
        </row>
        <row r="15">
          <cell r="M15">
            <v>166</v>
          </cell>
          <cell r="N15">
            <v>12</v>
          </cell>
          <cell r="O15">
            <v>332</v>
          </cell>
          <cell r="P15">
            <v>1328</v>
          </cell>
          <cell r="Q15">
            <v>44824.091428571424</v>
          </cell>
          <cell r="R15">
            <v>13616</v>
          </cell>
          <cell r="AC15">
            <v>2160</v>
          </cell>
          <cell r="AD15">
            <v>8</v>
          </cell>
        </row>
        <row r="19">
          <cell r="M19">
            <v>68</v>
          </cell>
          <cell r="N19">
            <v>10</v>
          </cell>
          <cell r="O19">
            <v>136</v>
          </cell>
          <cell r="P19">
            <v>544</v>
          </cell>
          <cell r="Q19">
            <v>20576.191999999999</v>
          </cell>
          <cell r="R19">
            <v>11240</v>
          </cell>
          <cell r="AC19">
            <v>420</v>
          </cell>
          <cell r="AD19">
            <v>8</v>
          </cell>
        </row>
        <row r="20">
          <cell r="M20">
            <v>86</v>
          </cell>
          <cell r="N20">
            <v>10</v>
          </cell>
          <cell r="O20">
            <v>172</v>
          </cell>
          <cell r="P20">
            <v>688</v>
          </cell>
          <cell r="Q20">
            <v>20829.714285714286</v>
          </cell>
          <cell r="R20">
            <v>13416</v>
          </cell>
          <cell r="AC20">
            <v>722</v>
          </cell>
          <cell r="AD20">
            <v>8</v>
          </cell>
        </row>
        <row r="21">
          <cell r="M21">
            <v>621</v>
          </cell>
          <cell r="N21">
            <v>8</v>
          </cell>
          <cell r="O21">
            <v>1242</v>
          </cell>
          <cell r="P21">
            <v>4968</v>
          </cell>
          <cell r="Q21">
            <v>40976.399999999994</v>
          </cell>
          <cell r="R21">
            <v>17360</v>
          </cell>
        </row>
        <row r="22">
          <cell r="M22">
            <v>16</v>
          </cell>
          <cell r="N22">
            <v>10</v>
          </cell>
          <cell r="O22">
            <v>32</v>
          </cell>
          <cell r="P22">
            <v>256</v>
          </cell>
          <cell r="Q22">
            <v>34377.919999999998</v>
          </cell>
          <cell r="R22">
            <v>15792</v>
          </cell>
        </row>
        <row r="23">
          <cell r="M23">
            <v>0</v>
          </cell>
          <cell r="N23">
            <v>0</v>
          </cell>
          <cell r="O23">
            <v>0</v>
          </cell>
          <cell r="P23">
            <v>0</v>
          </cell>
          <cell r="Q23">
            <v>0</v>
          </cell>
          <cell r="R23">
            <v>0</v>
          </cell>
        </row>
        <row r="34">
          <cell r="M34">
            <v>0</v>
          </cell>
          <cell r="N34">
            <v>5</v>
          </cell>
          <cell r="O34">
            <v>0</v>
          </cell>
          <cell r="P34">
            <v>0</v>
          </cell>
          <cell r="Q34">
            <v>0</v>
          </cell>
          <cell r="R34">
            <v>0</v>
          </cell>
          <cell r="AC34">
            <v>2460</v>
          </cell>
          <cell r="AD34">
            <v>4</v>
          </cell>
        </row>
        <row r="35">
          <cell r="M35">
            <v>1</v>
          </cell>
          <cell r="N35">
            <v>7</v>
          </cell>
          <cell r="O35">
            <v>1</v>
          </cell>
          <cell r="P35">
            <v>2</v>
          </cell>
          <cell r="Q35">
            <v>1952.56</v>
          </cell>
          <cell r="R35">
            <v>2556</v>
          </cell>
          <cell r="AC35">
            <v>933</v>
          </cell>
          <cell r="AD35">
            <v>6</v>
          </cell>
        </row>
        <row r="38">
          <cell r="M38">
            <v>1</v>
          </cell>
          <cell r="N38">
            <v>7</v>
          </cell>
          <cell r="O38">
            <v>1</v>
          </cell>
          <cell r="P38">
            <v>2</v>
          </cell>
          <cell r="Q38">
            <v>1952.56</v>
          </cell>
          <cell r="R38">
            <v>2556</v>
          </cell>
          <cell r="AC38">
            <v>933</v>
          </cell>
          <cell r="AD38">
            <v>6</v>
          </cell>
        </row>
        <row r="39">
          <cell r="M39">
            <v>0</v>
          </cell>
          <cell r="N39">
            <v>0</v>
          </cell>
          <cell r="O39">
            <v>0</v>
          </cell>
          <cell r="P39">
            <v>0</v>
          </cell>
          <cell r="Q39">
            <v>2481.8240000000001</v>
          </cell>
          <cell r="R39">
            <v>2472</v>
          </cell>
          <cell r="AC39">
            <v>1249</v>
          </cell>
          <cell r="AD39">
            <v>6</v>
          </cell>
        </row>
        <row r="40">
          <cell r="M40">
            <v>34</v>
          </cell>
          <cell r="N40">
            <v>5</v>
          </cell>
          <cell r="O40">
            <v>34</v>
          </cell>
          <cell r="P40">
            <v>204</v>
          </cell>
          <cell r="Q40">
            <v>29374.719999999998</v>
          </cell>
          <cell r="R40">
            <v>11644</v>
          </cell>
          <cell r="AC40">
            <v>575</v>
          </cell>
          <cell r="AD40">
            <v>6</v>
          </cell>
        </row>
        <row r="43">
          <cell r="M43">
            <v>268</v>
          </cell>
          <cell r="N43">
            <v>10</v>
          </cell>
          <cell r="O43">
            <v>268</v>
          </cell>
          <cell r="P43">
            <v>1072</v>
          </cell>
          <cell r="Q43">
            <v>61884.24</v>
          </cell>
          <cell r="R43">
            <v>8696</v>
          </cell>
          <cell r="AC43">
            <v>421</v>
          </cell>
          <cell r="AD43">
            <v>6</v>
          </cell>
        </row>
        <row r="44">
          <cell r="M44">
            <v>48</v>
          </cell>
          <cell r="N44">
            <v>7</v>
          </cell>
          <cell r="O44">
            <v>48</v>
          </cell>
          <cell r="P44">
            <v>192</v>
          </cell>
          <cell r="Q44">
            <v>13769.5872</v>
          </cell>
          <cell r="R44">
            <v>4732</v>
          </cell>
        </row>
        <row r="47">
          <cell r="M47">
            <v>248</v>
          </cell>
          <cell r="N47">
            <v>10</v>
          </cell>
          <cell r="O47">
            <v>248</v>
          </cell>
          <cell r="P47">
            <v>992</v>
          </cell>
          <cell r="Q47">
            <v>54750.479999999996</v>
          </cell>
          <cell r="R47">
            <v>10864</v>
          </cell>
          <cell r="AC47">
            <v>1255</v>
          </cell>
          <cell r="AD47">
            <v>6</v>
          </cell>
        </row>
        <row r="48">
          <cell r="M48">
            <v>284</v>
          </cell>
          <cell r="N48">
            <v>0</v>
          </cell>
          <cell r="O48">
            <v>284</v>
          </cell>
          <cell r="P48">
            <v>1136</v>
          </cell>
          <cell r="Q48">
            <v>393172.85714285716</v>
          </cell>
          <cell r="R48">
            <v>8212</v>
          </cell>
          <cell r="AC48">
            <v>864</v>
          </cell>
          <cell r="AD48">
            <v>6</v>
          </cell>
        </row>
        <row r="49">
          <cell r="M49">
            <v>22</v>
          </cell>
          <cell r="N49">
            <v>5</v>
          </cell>
          <cell r="O49">
            <v>22</v>
          </cell>
          <cell r="P49">
            <v>88</v>
          </cell>
          <cell r="Q49">
            <v>24398.352941176472</v>
          </cell>
          <cell r="R49">
            <v>3644</v>
          </cell>
          <cell r="AC49">
            <v>2460</v>
          </cell>
          <cell r="AD49">
            <v>6</v>
          </cell>
        </row>
        <row r="51">
          <cell r="M51">
            <v>0</v>
          </cell>
          <cell r="N51">
            <v>10</v>
          </cell>
          <cell r="O51">
            <v>0</v>
          </cell>
          <cell r="P51">
            <v>0</v>
          </cell>
          <cell r="Q51">
            <v>0</v>
          </cell>
          <cell r="R51">
            <v>0</v>
          </cell>
          <cell r="AC51">
            <v>2451</v>
          </cell>
          <cell r="AD51">
            <v>6</v>
          </cell>
        </row>
        <row r="52">
          <cell r="M52">
            <v>46</v>
          </cell>
          <cell r="N52">
            <v>14</v>
          </cell>
          <cell r="O52">
            <v>92</v>
          </cell>
          <cell r="P52">
            <v>184</v>
          </cell>
          <cell r="Q52">
            <v>46248</v>
          </cell>
          <cell r="R52">
            <v>9464</v>
          </cell>
          <cell r="AC52">
            <v>4629</v>
          </cell>
          <cell r="AD52">
            <v>6</v>
          </cell>
        </row>
        <row r="56">
          <cell r="M56">
            <v>306</v>
          </cell>
          <cell r="N56">
            <v>5</v>
          </cell>
          <cell r="O56">
            <v>306</v>
          </cell>
          <cell r="P56">
            <v>612</v>
          </cell>
          <cell r="Q56">
            <v>77785.42857142858</v>
          </cell>
          <cell r="R56">
            <v>5866</v>
          </cell>
          <cell r="AC56">
            <v>280</v>
          </cell>
          <cell r="AD56">
            <v>3</v>
          </cell>
        </row>
        <row r="57">
          <cell r="M57">
            <v>0</v>
          </cell>
          <cell r="N57">
            <v>10</v>
          </cell>
          <cell r="O57">
            <v>0</v>
          </cell>
          <cell r="P57">
            <v>0</v>
          </cell>
          <cell r="Q57">
            <v>0</v>
          </cell>
          <cell r="R57">
            <v>0</v>
          </cell>
          <cell r="AC57">
            <v>0</v>
          </cell>
          <cell r="AD57">
            <v>0</v>
          </cell>
        </row>
        <row r="58">
          <cell r="M58">
            <v>0</v>
          </cell>
          <cell r="N58">
            <v>5</v>
          </cell>
          <cell r="O58">
            <v>0</v>
          </cell>
          <cell r="P58">
            <v>0</v>
          </cell>
          <cell r="Q58">
            <v>0</v>
          </cell>
          <cell r="R58">
            <v>0</v>
          </cell>
          <cell r="AC58">
            <v>2500</v>
          </cell>
          <cell r="AD58">
            <v>4</v>
          </cell>
        </row>
        <row r="59">
          <cell r="M59">
            <v>0</v>
          </cell>
          <cell r="N59">
            <v>10</v>
          </cell>
          <cell r="O59">
            <v>0</v>
          </cell>
          <cell r="P59">
            <v>0</v>
          </cell>
          <cell r="Q59">
            <v>0</v>
          </cell>
          <cell r="R59">
            <v>0</v>
          </cell>
          <cell r="AC59">
            <v>4000</v>
          </cell>
          <cell r="AD59">
            <v>3</v>
          </cell>
        </row>
        <row r="60">
          <cell r="M60">
            <v>12</v>
          </cell>
          <cell r="N60">
            <v>10</v>
          </cell>
          <cell r="O60">
            <v>24</v>
          </cell>
          <cell r="P60">
            <v>144</v>
          </cell>
          <cell r="Q60">
            <v>38304</v>
          </cell>
          <cell r="R60">
            <v>7208</v>
          </cell>
          <cell r="AC60">
            <v>1250</v>
          </cell>
          <cell r="AD60">
            <v>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336</v>
      </c>
    </row>
    <row r="10" spans="1:5" ht="21.75" customHeight="1" x14ac:dyDescent="0.25">
      <c r="D10" s="134">
        <v>41649</v>
      </c>
      <c r="E10" s="133" t="s">
        <v>337</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214"/>
  <sheetViews>
    <sheetView view="pageBreakPreview" zoomScale="80" zoomScaleNormal="90" zoomScaleSheetLayoutView="80" workbookViewId="0">
      <pane xSplit="2" ySplit="12" topLeftCell="C75" activePane="bottomRight" state="frozen"/>
      <selection activeCell="B5" sqref="B5:F5"/>
      <selection pane="topRight" activeCell="B5" sqref="B5:F5"/>
      <selection pane="bottomLeft" activeCell="B5" sqref="B5:F5"/>
      <selection pane="bottomRight" activeCell="I90" sqref="I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6" width="11" style="4" customWidth="1"/>
    <col min="7" max="7" width="10.85546875" style="4" bestFit="1" customWidth="1"/>
    <col min="8" max="8" width="10.7109375" style="4" customWidth="1"/>
    <col min="9" max="9" width="11.14062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342</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T2" s="55"/>
      <c r="U2" s="322"/>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-8.2040501799122829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-8.8140380991987151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-9.2215016738723214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-9.6397856615729935</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637" t="s">
        <v>11</v>
      </c>
      <c r="B13" s="61" t="s">
        <v>174</v>
      </c>
      <c r="C13" s="60"/>
      <c r="D13" s="61" t="s">
        <v>39</v>
      </c>
      <c r="E13" s="62">
        <f>-'Workings baseline 2015.16'!E58</f>
        <v>-0.71576911931550802</v>
      </c>
      <c r="F13" s="62">
        <f>-'Workings baseline 2016.17'!F79</f>
        <v>-0.75595365755844168</v>
      </c>
      <c r="G13" s="62">
        <f>-'Workings baseline 2017.18'!F81</f>
        <v>-0.9564848637090908</v>
      </c>
      <c r="H13" s="62">
        <f>-'Working baseline 2018.19'!F84</f>
        <v>-0.97487857286233759</v>
      </c>
      <c r="I13" s="62">
        <f>-'Working baseline 2019.20'!F84</f>
        <v>-1.2238007457515661</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38"/>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638"/>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63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3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39"/>
      <c r="B18" s="123" t="s">
        <v>194</v>
      </c>
      <c r="C18" s="128"/>
      <c r="D18" s="124" t="s">
        <v>39</v>
      </c>
      <c r="E18" s="59">
        <f>SUM(E13:E17)</f>
        <v>-0.71576911931550802</v>
      </c>
      <c r="F18" s="59">
        <f t="shared" ref="F18:AW18" si="0">SUM(F13:F17)</f>
        <v>-0.75595365755844168</v>
      </c>
      <c r="G18" s="59">
        <f t="shared" si="0"/>
        <v>-0.9564848637090908</v>
      </c>
      <c r="H18" s="59">
        <f t="shared" si="0"/>
        <v>-0.97487857286233759</v>
      </c>
      <c r="I18" s="59">
        <f t="shared" si="0"/>
        <v>-1.2238007457515661</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40"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4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4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4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4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4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4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-0.71576911931550802</v>
      </c>
      <c r="F26" s="59">
        <f t="shared" ref="F26:BD26" si="2">F18+F25</f>
        <v>-0.75595365755844168</v>
      </c>
      <c r="G26" s="59">
        <f t="shared" si="2"/>
        <v>-0.9564848637090908</v>
      </c>
      <c r="H26" s="59">
        <f t="shared" si="2"/>
        <v>-0.97487857286233759</v>
      </c>
      <c r="I26" s="59">
        <f t="shared" si="2"/>
        <v>-1.2238007457515661</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-0.50103838352085561</v>
      </c>
      <c r="F28" s="35">
        <f t="shared" ref="F28:AW28" si="3">F26*F27</f>
        <v>-0.52916756029090917</v>
      </c>
      <c r="G28" s="35">
        <f t="shared" si="3"/>
        <v>-0.66953940459636352</v>
      </c>
      <c r="H28" s="35">
        <f t="shared" si="3"/>
        <v>-0.68241500100363628</v>
      </c>
      <c r="I28" s="35">
        <f t="shared" si="3"/>
        <v>-0.85666052202609622</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-0.21473073579465241</v>
      </c>
      <c r="F29" s="35">
        <f t="shared" ref="F29:AW29" si="4">F26-F28</f>
        <v>-0.22678609726753252</v>
      </c>
      <c r="G29" s="35">
        <f t="shared" si="4"/>
        <v>-0.28694545911272729</v>
      </c>
      <c r="H29" s="35">
        <f t="shared" si="4"/>
        <v>-0.29246357185870131</v>
      </c>
      <c r="I29" s="35">
        <f t="shared" si="4"/>
        <v>-0.36714022372546984</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-1.1134186300463459E-2</v>
      </c>
      <c r="G30" s="35">
        <f>$E$28/'Fixed data'!$C$7</f>
        <v>-1.1134186300463459E-2</v>
      </c>
      <c r="H30" s="35">
        <f>$E$28/'Fixed data'!$C$7</f>
        <v>-1.1134186300463459E-2</v>
      </c>
      <c r="I30" s="35">
        <f>$E$28/'Fixed data'!$C$7</f>
        <v>-1.1134186300463459E-2</v>
      </c>
      <c r="J30" s="35">
        <f>$E$28/'Fixed data'!$C$7</f>
        <v>-1.1134186300463459E-2</v>
      </c>
      <c r="K30" s="35">
        <f>$E$28/'Fixed data'!$C$7</f>
        <v>-1.1134186300463459E-2</v>
      </c>
      <c r="L30" s="35">
        <f>$E$28/'Fixed data'!$C$7</f>
        <v>-1.1134186300463459E-2</v>
      </c>
      <c r="M30" s="35">
        <f>$E$28/'Fixed data'!$C$7</f>
        <v>-1.1134186300463459E-2</v>
      </c>
      <c r="N30" s="35">
        <f>$E$28/'Fixed data'!$C$7</f>
        <v>-1.1134186300463459E-2</v>
      </c>
      <c r="O30" s="35">
        <f>$E$28/'Fixed data'!$C$7</f>
        <v>-1.1134186300463459E-2</v>
      </c>
      <c r="P30" s="35">
        <f>$E$28/'Fixed data'!$C$7</f>
        <v>-1.1134186300463459E-2</v>
      </c>
      <c r="Q30" s="35">
        <f>$E$28/'Fixed data'!$C$7</f>
        <v>-1.1134186300463459E-2</v>
      </c>
      <c r="R30" s="35">
        <f>$E$28/'Fixed data'!$C$7</f>
        <v>-1.1134186300463459E-2</v>
      </c>
      <c r="S30" s="35">
        <f>$E$28/'Fixed data'!$C$7</f>
        <v>-1.1134186300463459E-2</v>
      </c>
      <c r="T30" s="35">
        <f>$E$28/'Fixed data'!$C$7</f>
        <v>-1.1134186300463459E-2</v>
      </c>
      <c r="U30" s="35">
        <f>$E$28/'Fixed data'!$C$7</f>
        <v>-1.1134186300463459E-2</v>
      </c>
      <c r="V30" s="35">
        <f>$E$28/'Fixed data'!$C$7</f>
        <v>-1.1134186300463459E-2</v>
      </c>
      <c r="W30" s="35">
        <f>$E$28/'Fixed data'!$C$7</f>
        <v>-1.1134186300463459E-2</v>
      </c>
      <c r="X30" s="35">
        <f>$E$28/'Fixed data'!$C$7</f>
        <v>-1.1134186300463459E-2</v>
      </c>
      <c r="Y30" s="35">
        <f>$E$28/'Fixed data'!$C$7</f>
        <v>-1.1134186300463459E-2</v>
      </c>
      <c r="Z30" s="35">
        <f>$E$28/'Fixed data'!$C$7</f>
        <v>-1.1134186300463459E-2</v>
      </c>
      <c r="AA30" s="35">
        <f>$E$28/'Fixed data'!$C$7</f>
        <v>-1.1134186300463459E-2</v>
      </c>
      <c r="AB30" s="35">
        <f>$E$28/'Fixed data'!$C$7</f>
        <v>-1.1134186300463459E-2</v>
      </c>
      <c r="AC30" s="35">
        <f>$E$28/'Fixed data'!$C$7</f>
        <v>-1.1134186300463459E-2</v>
      </c>
      <c r="AD30" s="35">
        <f>$E$28/'Fixed data'!$C$7</f>
        <v>-1.1134186300463459E-2</v>
      </c>
      <c r="AE30" s="35">
        <f>$E$28/'Fixed data'!$C$7</f>
        <v>-1.1134186300463459E-2</v>
      </c>
      <c r="AF30" s="35">
        <f>$E$28/'Fixed data'!$C$7</f>
        <v>-1.1134186300463459E-2</v>
      </c>
      <c r="AG30" s="35">
        <f>$E$28/'Fixed data'!$C$7</f>
        <v>-1.1134186300463459E-2</v>
      </c>
      <c r="AH30" s="35">
        <f>$E$28/'Fixed data'!$C$7</f>
        <v>-1.1134186300463459E-2</v>
      </c>
      <c r="AI30" s="35">
        <f>$E$28/'Fixed data'!$C$7</f>
        <v>-1.1134186300463459E-2</v>
      </c>
      <c r="AJ30" s="35">
        <f>$E$28/'Fixed data'!$C$7</f>
        <v>-1.1134186300463459E-2</v>
      </c>
      <c r="AK30" s="35">
        <f>$E$28/'Fixed data'!$C$7</f>
        <v>-1.1134186300463459E-2</v>
      </c>
      <c r="AL30" s="35">
        <f>$E$28/'Fixed data'!$C$7</f>
        <v>-1.1134186300463459E-2</v>
      </c>
      <c r="AM30" s="35">
        <f>$E$28/'Fixed data'!$C$7</f>
        <v>-1.1134186300463459E-2</v>
      </c>
      <c r="AN30" s="35">
        <f>$E$28/'Fixed data'!$C$7</f>
        <v>-1.1134186300463459E-2</v>
      </c>
      <c r="AO30" s="35">
        <f>$E$28/'Fixed data'!$C$7</f>
        <v>-1.1134186300463459E-2</v>
      </c>
      <c r="AP30" s="35">
        <f>$E$28/'Fixed data'!$C$7</f>
        <v>-1.1134186300463459E-2</v>
      </c>
      <c r="AQ30" s="35">
        <f>$E$28/'Fixed data'!$C$7</f>
        <v>-1.1134186300463459E-2</v>
      </c>
      <c r="AR30" s="35">
        <f>$E$28/'Fixed data'!$C$7</f>
        <v>-1.1134186300463459E-2</v>
      </c>
      <c r="AS30" s="35">
        <f>$E$28/'Fixed data'!$C$7</f>
        <v>-1.1134186300463459E-2</v>
      </c>
      <c r="AT30" s="35">
        <f>$E$28/'Fixed data'!$C$7</f>
        <v>-1.1134186300463459E-2</v>
      </c>
      <c r="AU30" s="35">
        <f>$E$28/'Fixed data'!$C$7</f>
        <v>-1.1134186300463459E-2</v>
      </c>
      <c r="AV30" s="35">
        <f>$E$28/'Fixed data'!$C$7</f>
        <v>-1.1134186300463459E-2</v>
      </c>
      <c r="AW30" s="35">
        <f>$E$28/'Fixed data'!$C$7</f>
        <v>-1.1134186300463459E-2</v>
      </c>
      <c r="AX30" s="35">
        <f>$E$28/'Fixed data'!$C$7</f>
        <v>-1.1134186300463459E-2</v>
      </c>
      <c r="AY30" s="35"/>
      <c r="AZ30" s="35"/>
      <c r="BA30" s="35"/>
      <c r="BB30" s="35"/>
      <c r="BC30" s="35"/>
      <c r="BD30" s="35"/>
    </row>
    <row r="31" spans="1:56" ht="16.5" hidden="1" customHeight="1" outlineLevel="1" x14ac:dyDescent="0.35">
      <c r="A31" s="114"/>
      <c r="B31" s="9" t="s">
        <v>2</v>
      </c>
      <c r="C31" s="11" t="s">
        <v>52</v>
      </c>
      <c r="D31" s="9" t="s">
        <v>39</v>
      </c>
      <c r="F31" s="35"/>
      <c r="G31" s="35">
        <f>$F$28/'Fixed data'!$C$7</f>
        <v>-1.1759279117575759E-2</v>
      </c>
      <c r="H31" s="35">
        <f>$F$28/'Fixed data'!$C$7</f>
        <v>-1.1759279117575759E-2</v>
      </c>
      <c r="I31" s="35">
        <f>$F$28/'Fixed data'!$C$7</f>
        <v>-1.1759279117575759E-2</v>
      </c>
      <c r="J31" s="35">
        <f>$F$28/'Fixed data'!$C$7</f>
        <v>-1.1759279117575759E-2</v>
      </c>
      <c r="K31" s="35">
        <f>$F$28/'Fixed data'!$C$7</f>
        <v>-1.1759279117575759E-2</v>
      </c>
      <c r="L31" s="35">
        <f>$F$28/'Fixed data'!$C$7</f>
        <v>-1.1759279117575759E-2</v>
      </c>
      <c r="M31" s="35">
        <f>$F$28/'Fixed data'!$C$7</f>
        <v>-1.1759279117575759E-2</v>
      </c>
      <c r="N31" s="35">
        <f>$F$28/'Fixed data'!$C$7</f>
        <v>-1.1759279117575759E-2</v>
      </c>
      <c r="O31" s="35">
        <f>$F$28/'Fixed data'!$C$7</f>
        <v>-1.1759279117575759E-2</v>
      </c>
      <c r="P31" s="35">
        <f>$F$28/'Fixed data'!$C$7</f>
        <v>-1.1759279117575759E-2</v>
      </c>
      <c r="Q31" s="35">
        <f>$F$28/'Fixed data'!$C$7</f>
        <v>-1.1759279117575759E-2</v>
      </c>
      <c r="R31" s="35">
        <f>$F$28/'Fixed data'!$C$7</f>
        <v>-1.1759279117575759E-2</v>
      </c>
      <c r="S31" s="35">
        <f>$F$28/'Fixed data'!$C$7</f>
        <v>-1.1759279117575759E-2</v>
      </c>
      <c r="T31" s="35">
        <f>$F$28/'Fixed data'!$C$7</f>
        <v>-1.1759279117575759E-2</v>
      </c>
      <c r="U31" s="35">
        <f>$F$28/'Fixed data'!$C$7</f>
        <v>-1.1759279117575759E-2</v>
      </c>
      <c r="V31" s="35">
        <f>$F$28/'Fixed data'!$C$7</f>
        <v>-1.1759279117575759E-2</v>
      </c>
      <c r="W31" s="35">
        <f>$F$28/'Fixed data'!$C$7</f>
        <v>-1.1759279117575759E-2</v>
      </c>
      <c r="X31" s="35">
        <f>$F$28/'Fixed data'!$C$7</f>
        <v>-1.1759279117575759E-2</v>
      </c>
      <c r="Y31" s="35">
        <f>$F$28/'Fixed data'!$C$7</f>
        <v>-1.1759279117575759E-2</v>
      </c>
      <c r="Z31" s="35">
        <f>$F$28/'Fixed data'!$C$7</f>
        <v>-1.1759279117575759E-2</v>
      </c>
      <c r="AA31" s="35">
        <f>$F$28/'Fixed data'!$C$7</f>
        <v>-1.1759279117575759E-2</v>
      </c>
      <c r="AB31" s="35">
        <f>$F$28/'Fixed data'!$C$7</f>
        <v>-1.1759279117575759E-2</v>
      </c>
      <c r="AC31" s="35">
        <f>$F$28/'Fixed data'!$C$7</f>
        <v>-1.1759279117575759E-2</v>
      </c>
      <c r="AD31" s="35">
        <f>$F$28/'Fixed data'!$C$7</f>
        <v>-1.1759279117575759E-2</v>
      </c>
      <c r="AE31" s="35">
        <f>$F$28/'Fixed data'!$C$7</f>
        <v>-1.1759279117575759E-2</v>
      </c>
      <c r="AF31" s="35">
        <f>$F$28/'Fixed data'!$C$7</f>
        <v>-1.1759279117575759E-2</v>
      </c>
      <c r="AG31" s="35">
        <f>$F$28/'Fixed data'!$C$7</f>
        <v>-1.1759279117575759E-2</v>
      </c>
      <c r="AH31" s="35">
        <f>$F$28/'Fixed data'!$C$7</f>
        <v>-1.1759279117575759E-2</v>
      </c>
      <c r="AI31" s="35">
        <f>$F$28/'Fixed data'!$C$7</f>
        <v>-1.1759279117575759E-2</v>
      </c>
      <c r="AJ31" s="35">
        <f>$F$28/'Fixed data'!$C$7</f>
        <v>-1.1759279117575759E-2</v>
      </c>
      <c r="AK31" s="35">
        <f>$F$28/'Fixed data'!$C$7</f>
        <v>-1.1759279117575759E-2</v>
      </c>
      <c r="AL31" s="35">
        <f>$F$28/'Fixed data'!$C$7</f>
        <v>-1.1759279117575759E-2</v>
      </c>
      <c r="AM31" s="35">
        <f>$F$28/'Fixed data'!$C$7</f>
        <v>-1.1759279117575759E-2</v>
      </c>
      <c r="AN31" s="35">
        <f>$F$28/'Fixed data'!$C$7</f>
        <v>-1.1759279117575759E-2</v>
      </c>
      <c r="AO31" s="35">
        <f>$F$28/'Fixed data'!$C$7</f>
        <v>-1.1759279117575759E-2</v>
      </c>
      <c r="AP31" s="35">
        <f>$F$28/'Fixed data'!$C$7</f>
        <v>-1.1759279117575759E-2</v>
      </c>
      <c r="AQ31" s="35">
        <f>$F$28/'Fixed data'!$C$7</f>
        <v>-1.1759279117575759E-2</v>
      </c>
      <c r="AR31" s="35">
        <f>$F$28/'Fixed data'!$C$7</f>
        <v>-1.1759279117575759E-2</v>
      </c>
      <c r="AS31" s="35">
        <f>$F$28/'Fixed data'!$C$7</f>
        <v>-1.1759279117575759E-2</v>
      </c>
      <c r="AT31" s="35">
        <f>$F$28/'Fixed data'!$C$7</f>
        <v>-1.1759279117575759E-2</v>
      </c>
      <c r="AU31" s="35">
        <f>$F$28/'Fixed data'!$C$7</f>
        <v>-1.1759279117575759E-2</v>
      </c>
      <c r="AV31" s="35">
        <f>$F$28/'Fixed data'!$C$7</f>
        <v>-1.1759279117575759E-2</v>
      </c>
      <c r="AW31" s="35">
        <f>$F$28/'Fixed data'!$C$7</f>
        <v>-1.1759279117575759E-2</v>
      </c>
      <c r="AX31" s="35">
        <f>$F$28/'Fixed data'!$C$7</f>
        <v>-1.1759279117575759E-2</v>
      </c>
      <c r="AY31" s="35">
        <f>$F$28/'Fixed data'!$C$7</f>
        <v>-1.1759279117575759E-2</v>
      </c>
      <c r="AZ31" s="35"/>
      <c r="BA31" s="35"/>
      <c r="BB31" s="35"/>
      <c r="BC31" s="35"/>
      <c r="BD31" s="35"/>
    </row>
    <row r="32" spans="1:56" ht="16.5" hidden="1" customHeight="1" outlineLevel="1" x14ac:dyDescent="0.35">
      <c r="A32" s="114"/>
      <c r="B32" s="9" t="s">
        <v>3</v>
      </c>
      <c r="C32" s="11" t="s">
        <v>53</v>
      </c>
      <c r="D32" s="9" t="s">
        <v>39</v>
      </c>
      <c r="F32" s="35"/>
      <c r="G32" s="35"/>
      <c r="H32" s="35">
        <f>$G$28/'Fixed data'!$C$7</f>
        <v>-1.4878653435474745E-2</v>
      </c>
      <c r="I32" s="35">
        <f>$G$28/'Fixed data'!$C$7</f>
        <v>-1.4878653435474745E-2</v>
      </c>
      <c r="J32" s="35">
        <f>$G$28/'Fixed data'!$C$7</f>
        <v>-1.4878653435474745E-2</v>
      </c>
      <c r="K32" s="35">
        <f>$G$28/'Fixed data'!$C$7</f>
        <v>-1.4878653435474745E-2</v>
      </c>
      <c r="L32" s="35">
        <f>$G$28/'Fixed data'!$C$7</f>
        <v>-1.4878653435474745E-2</v>
      </c>
      <c r="M32" s="35">
        <f>$G$28/'Fixed data'!$C$7</f>
        <v>-1.4878653435474745E-2</v>
      </c>
      <c r="N32" s="35">
        <f>$G$28/'Fixed data'!$C$7</f>
        <v>-1.4878653435474745E-2</v>
      </c>
      <c r="O32" s="35">
        <f>$G$28/'Fixed data'!$C$7</f>
        <v>-1.4878653435474745E-2</v>
      </c>
      <c r="P32" s="35">
        <f>$G$28/'Fixed data'!$C$7</f>
        <v>-1.4878653435474745E-2</v>
      </c>
      <c r="Q32" s="35">
        <f>$G$28/'Fixed data'!$C$7</f>
        <v>-1.4878653435474745E-2</v>
      </c>
      <c r="R32" s="35">
        <f>$G$28/'Fixed data'!$C$7</f>
        <v>-1.4878653435474745E-2</v>
      </c>
      <c r="S32" s="35">
        <f>$G$28/'Fixed data'!$C$7</f>
        <v>-1.4878653435474745E-2</v>
      </c>
      <c r="T32" s="35">
        <f>$G$28/'Fixed data'!$C$7</f>
        <v>-1.4878653435474745E-2</v>
      </c>
      <c r="U32" s="35">
        <f>$G$28/'Fixed data'!$C$7</f>
        <v>-1.4878653435474745E-2</v>
      </c>
      <c r="V32" s="35">
        <f>$G$28/'Fixed data'!$C$7</f>
        <v>-1.4878653435474745E-2</v>
      </c>
      <c r="W32" s="35">
        <f>$G$28/'Fixed data'!$C$7</f>
        <v>-1.4878653435474745E-2</v>
      </c>
      <c r="X32" s="35">
        <f>$G$28/'Fixed data'!$C$7</f>
        <v>-1.4878653435474745E-2</v>
      </c>
      <c r="Y32" s="35">
        <f>$G$28/'Fixed data'!$C$7</f>
        <v>-1.4878653435474745E-2</v>
      </c>
      <c r="Z32" s="35">
        <f>$G$28/'Fixed data'!$C$7</f>
        <v>-1.4878653435474745E-2</v>
      </c>
      <c r="AA32" s="35">
        <f>$G$28/'Fixed data'!$C$7</f>
        <v>-1.4878653435474745E-2</v>
      </c>
      <c r="AB32" s="35">
        <f>$G$28/'Fixed data'!$C$7</f>
        <v>-1.4878653435474745E-2</v>
      </c>
      <c r="AC32" s="35">
        <f>$G$28/'Fixed data'!$C$7</f>
        <v>-1.4878653435474745E-2</v>
      </c>
      <c r="AD32" s="35">
        <f>$G$28/'Fixed data'!$C$7</f>
        <v>-1.4878653435474745E-2</v>
      </c>
      <c r="AE32" s="35">
        <f>$G$28/'Fixed data'!$C$7</f>
        <v>-1.4878653435474745E-2</v>
      </c>
      <c r="AF32" s="35">
        <f>$G$28/'Fixed data'!$C$7</f>
        <v>-1.4878653435474745E-2</v>
      </c>
      <c r="AG32" s="35">
        <f>$G$28/'Fixed data'!$C$7</f>
        <v>-1.4878653435474745E-2</v>
      </c>
      <c r="AH32" s="35">
        <f>$G$28/'Fixed data'!$C$7</f>
        <v>-1.4878653435474745E-2</v>
      </c>
      <c r="AI32" s="35">
        <f>$G$28/'Fixed data'!$C$7</f>
        <v>-1.4878653435474745E-2</v>
      </c>
      <c r="AJ32" s="35">
        <f>$G$28/'Fixed data'!$C$7</f>
        <v>-1.4878653435474745E-2</v>
      </c>
      <c r="AK32" s="35">
        <f>$G$28/'Fixed data'!$C$7</f>
        <v>-1.4878653435474745E-2</v>
      </c>
      <c r="AL32" s="35">
        <f>$G$28/'Fixed data'!$C$7</f>
        <v>-1.4878653435474745E-2</v>
      </c>
      <c r="AM32" s="35">
        <f>$G$28/'Fixed data'!$C$7</f>
        <v>-1.4878653435474745E-2</v>
      </c>
      <c r="AN32" s="35">
        <f>$G$28/'Fixed data'!$C$7</f>
        <v>-1.4878653435474745E-2</v>
      </c>
      <c r="AO32" s="35">
        <f>$G$28/'Fixed data'!$C$7</f>
        <v>-1.4878653435474745E-2</v>
      </c>
      <c r="AP32" s="35">
        <f>$G$28/'Fixed data'!$C$7</f>
        <v>-1.4878653435474745E-2</v>
      </c>
      <c r="AQ32" s="35">
        <f>$G$28/'Fixed data'!$C$7</f>
        <v>-1.4878653435474745E-2</v>
      </c>
      <c r="AR32" s="35">
        <f>$G$28/'Fixed data'!$C$7</f>
        <v>-1.4878653435474745E-2</v>
      </c>
      <c r="AS32" s="35">
        <f>$G$28/'Fixed data'!$C$7</f>
        <v>-1.4878653435474745E-2</v>
      </c>
      <c r="AT32" s="35">
        <f>$G$28/'Fixed data'!$C$7</f>
        <v>-1.4878653435474745E-2</v>
      </c>
      <c r="AU32" s="35">
        <f>$G$28/'Fixed data'!$C$7</f>
        <v>-1.4878653435474745E-2</v>
      </c>
      <c r="AV32" s="35">
        <f>$G$28/'Fixed data'!$C$7</f>
        <v>-1.4878653435474745E-2</v>
      </c>
      <c r="AW32" s="35">
        <f>$G$28/'Fixed data'!$C$7</f>
        <v>-1.4878653435474745E-2</v>
      </c>
      <c r="AX32" s="35">
        <f>$G$28/'Fixed data'!$C$7</f>
        <v>-1.4878653435474745E-2</v>
      </c>
      <c r="AY32" s="35">
        <f>$G$28/'Fixed data'!$C$7</f>
        <v>-1.4878653435474745E-2</v>
      </c>
      <c r="AZ32" s="35">
        <f>$G$28/'Fixed data'!$C$7</f>
        <v>-1.4878653435474745E-2</v>
      </c>
      <c r="BA32" s="35"/>
      <c r="BB32" s="35"/>
      <c r="BC32" s="35"/>
      <c r="BD32" s="35"/>
    </row>
    <row r="33" spans="1:57" ht="16.5" hidden="1" customHeight="1" outlineLevel="1" x14ac:dyDescent="0.35">
      <c r="A33" s="114"/>
      <c r="B33" s="9" t="s">
        <v>4</v>
      </c>
      <c r="C33" s="11" t="s">
        <v>54</v>
      </c>
      <c r="D33" s="9" t="s">
        <v>39</v>
      </c>
      <c r="F33" s="35"/>
      <c r="G33" s="35"/>
      <c r="H33" s="35"/>
      <c r="I33" s="35">
        <f>$H$28/'Fixed data'!$C$7</f>
        <v>-1.5164777800080806E-2</v>
      </c>
      <c r="J33" s="35">
        <f>$H$28/'Fixed data'!$C$7</f>
        <v>-1.5164777800080806E-2</v>
      </c>
      <c r="K33" s="35">
        <f>$H$28/'Fixed data'!$C$7</f>
        <v>-1.5164777800080806E-2</v>
      </c>
      <c r="L33" s="35">
        <f>$H$28/'Fixed data'!$C$7</f>
        <v>-1.5164777800080806E-2</v>
      </c>
      <c r="M33" s="35">
        <f>$H$28/'Fixed data'!$C$7</f>
        <v>-1.5164777800080806E-2</v>
      </c>
      <c r="N33" s="35">
        <f>$H$28/'Fixed data'!$C$7</f>
        <v>-1.5164777800080806E-2</v>
      </c>
      <c r="O33" s="35">
        <f>$H$28/'Fixed data'!$C$7</f>
        <v>-1.5164777800080806E-2</v>
      </c>
      <c r="P33" s="35">
        <f>$H$28/'Fixed data'!$C$7</f>
        <v>-1.5164777800080806E-2</v>
      </c>
      <c r="Q33" s="35">
        <f>$H$28/'Fixed data'!$C$7</f>
        <v>-1.5164777800080806E-2</v>
      </c>
      <c r="R33" s="35">
        <f>$H$28/'Fixed data'!$C$7</f>
        <v>-1.5164777800080806E-2</v>
      </c>
      <c r="S33" s="35">
        <f>$H$28/'Fixed data'!$C$7</f>
        <v>-1.5164777800080806E-2</v>
      </c>
      <c r="T33" s="35">
        <f>$H$28/'Fixed data'!$C$7</f>
        <v>-1.5164777800080806E-2</v>
      </c>
      <c r="U33" s="35">
        <f>$H$28/'Fixed data'!$C$7</f>
        <v>-1.5164777800080806E-2</v>
      </c>
      <c r="V33" s="35">
        <f>$H$28/'Fixed data'!$C$7</f>
        <v>-1.5164777800080806E-2</v>
      </c>
      <c r="W33" s="35">
        <f>$H$28/'Fixed data'!$C$7</f>
        <v>-1.5164777800080806E-2</v>
      </c>
      <c r="X33" s="35">
        <f>$H$28/'Fixed data'!$C$7</f>
        <v>-1.5164777800080806E-2</v>
      </c>
      <c r="Y33" s="35">
        <f>$H$28/'Fixed data'!$C$7</f>
        <v>-1.5164777800080806E-2</v>
      </c>
      <c r="Z33" s="35">
        <f>$H$28/'Fixed data'!$C$7</f>
        <v>-1.5164777800080806E-2</v>
      </c>
      <c r="AA33" s="35">
        <f>$H$28/'Fixed data'!$C$7</f>
        <v>-1.5164777800080806E-2</v>
      </c>
      <c r="AB33" s="35">
        <f>$H$28/'Fixed data'!$C$7</f>
        <v>-1.5164777800080806E-2</v>
      </c>
      <c r="AC33" s="35">
        <f>$H$28/'Fixed data'!$C$7</f>
        <v>-1.5164777800080806E-2</v>
      </c>
      <c r="AD33" s="35">
        <f>$H$28/'Fixed data'!$C$7</f>
        <v>-1.5164777800080806E-2</v>
      </c>
      <c r="AE33" s="35">
        <f>$H$28/'Fixed data'!$C$7</f>
        <v>-1.5164777800080806E-2</v>
      </c>
      <c r="AF33" s="35">
        <f>$H$28/'Fixed data'!$C$7</f>
        <v>-1.5164777800080806E-2</v>
      </c>
      <c r="AG33" s="35">
        <f>$H$28/'Fixed data'!$C$7</f>
        <v>-1.5164777800080806E-2</v>
      </c>
      <c r="AH33" s="35">
        <f>$H$28/'Fixed data'!$C$7</f>
        <v>-1.5164777800080806E-2</v>
      </c>
      <c r="AI33" s="35">
        <f>$H$28/'Fixed data'!$C$7</f>
        <v>-1.5164777800080806E-2</v>
      </c>
      <c r="AJ33" s="35">
        <f>$H$28/'Fixed data'!$C$7</f>
        <v>-1.5164777800080806E-2</v>
      </c>
      <c r="AK33" s="35">
        <f>$H$28/'Fixed data'!$C$7</f>
        <v>-1.5164777800080806E-2</v>
      </c>
      <c r="AL33" s="35">
        <f>$H$28/'Fixed data'!$C$7</f>
        <v>-1.5164777800080806E-2</v>
      </c>
      <c r="AM33" s="35">
        <f>$H$28/'Fixed data'!$C$7</f>
        <v>-1.5164777800080806E-2</v>
      </c>
      <c r="AN33" s="35">
        <f>$H$28/'Fixed data'!$C$7</f>
        <v>-1.5164777800080806E-2</v>
      </c>
      <c r="AO33" s="35">
        <f>$H$28/'Fixed data'!$C$7</f>
        <v>-1.5164777800080806E-2</v>
      </c>
      <c r="AP33" s="35">
        <f>$H$28/'Fixed data'!$C$7</f>
        <v>-1.5164777800080806E-2</v>
      </c>
      <c r="AQ33" s="35">
        <f>$H$28/'Fixed data'!$C$7</f>
        <v>-1.5164777800080806E-2</v>
      </c>
      <c r="AR33" s="35">
        <f>$H$28/'Fixed data'!$C$7</f>
        <v>-1.5164777800080806E-2</v>
      </c>
      <c r="AS33" s="35">
        <f>$H$28/'Fixed data'!$C$7</f>
        <v>-1.5164777800080806E-2</v>
      </c>
      <c r="AT33" s="35">
        <f>$H$28/'Fixed data'!$C$7</f>
        <v>-1.5164777800080806E-2</v>
      </c>
      <c r="AU33" s="35">
        <f>$H$28/'Fixed data'!$C$7</f>
        <v>-1.5164777800080806E-2</v>
      </c>
      <c r="AV33" s="35">
        <f>$H$28/'Fixed data'!$C$7</f>
        <v>-1.5164777800080806E-2</v>
      </c>
      <c r="AW33" s="35">
        <f>$H$28/'Fixed data'!$C$7</f>
        <v>-1.5164777800080806E-2</v>
      </c>
      <c r="AX33" s="35">
        <f>$H$28/'Fixed data'!$C$7</f>
        <v>-1.5164777800080806E-2</v>
      </c>
      <c r="AY33" s="35">
        <f>$H$28/'Fixed data'!$C$7</f>
        <v>-1.5164777800080806E-2</v>
      </c>
      <c r="AZ33" s="35">
        <f>$H$28/'Fixed data'!$C$7</f>
        <v>-1.5164777800080806E-2</v>
      </c>
      <c r="BA33" s="35">
        <f>$H$28/'Fixed data'!$C$7</f>
        <v>-1.5164777800080806E-2</v>
      </c>
      <c r="BB33" s="35"/>
      <c r="BC33" s="35"/>
      <c r="BD33" s="35"/>
    </row>
    <row r="34" spans="1:57" ht="16.5" hidden="1" customHeight="1" outlineLevel="1" x14ac:dyDescent="0.35">
      <c r="A34" s="114"/>
      <c r="B34" s="9" t="s">
        <v>5</v>
      </c>
      <c r="C34" s="11" t="s">
        <v>55</v>
      </c>
      <c r="D34" s="9" t="s">
        <v>39</v>
      </c>
      <c r="F34" s="35"/>
      <c r="G34" s="35"/>
      <c r="H34" s="35"/>
      <c r="I34" s="35"/>
      <c r="J34" s="35">
        <f>$I$28/'Fixed data'!$C$7</f>
        <v>-1.9036900489468805E-2</v>
      </c>
      <c r="K34" s="35">
        <f>$I$28/'Fixed data'!$C$7</f>
        <v>-1.9036900489468805E-2</v>
      </c>
      <c r="L34" s="35">
        <f>$I$28/'Fixed data'!$C$7</f>
        <v>-1.9036900489468805E-2</v>
      </c>
      <c r="M34" s="35">
        <f>$I$28/'Fixed data'!$C$7</f>
        <v>-1.9036900489468805E-2</v>
      </c>
      <c r="N34" s="35">
        <f>$I$28/'Fixed data'!$C$7</f>
        <v>-1.9036900489468805E-2</v>
      </c>
      <c r="O34" s="35">
        <f>$I$28/'Fixed data'!$C$7</f>
        <v>-1.9036900489468805E-2</v>
      </c>
      <c r="P34" s="35">
        <f>$I$28/'Fixed data'!$C$7</f>
        <v>-1.9036900489468805E-2</v>
      </c>
      <c r="Q34" s="35">
        <f>$I$28/'Fixed data'!$C$7</f>
        <v>-1.9036900489468805E-2</v>
      </c>
      <c r="R34" s="35">
        <f>$I$28/'Fixed data'!$C$7</f>
        <v>-1.9036900489468805E-2</v>
      </c>
      <c r="S34" s="35">
        <f>$I$28/'Fixed data'!$C$7</f>
        <v>-1.9036900489468805E-2</v>
      </c>
      <c r="T34" s="35">
        <f>$I$28/'Fixed data'!$C$7</f>
        <v>-1.9036900489468805E-2</v>
      </c>
      <c r="U34" s="35">
        <f>$I$28/'Fixed data'!$C$7</f>
        <v>-1.9036900489468805E-2</v>
      </c>
      <c r="V34" s="35">
        <f>$I$28/'Fixed data'!$C$7</f>
        <v>-1.9036900489468805E-2</v>
      </c>
      <c r="W34" s="35">
        <f>$I$28/'Fixed data'!$C$7</f>
        <v>-1.9036900489468805E-2</v>
      </c>
      <c r="X34" s="35">
        <f>$I$28/'Fixed data'!$C$7</f>
        <v>-1.9036900489468805E-2</v>
      </c>
      <c r="Y34" s="35">
        <f>$I$28/'Fixed data'!$C$7</f>
        <v>-1.9036900489468805E-2</v>
      </c>
      <c r="Z34" s="35">
        <f>$I$28/'Fixed data'!$C$7</f>
        <v>-1.9036900489468805E-2</v>
      </c>
      <c r="AA34" s="35">
        <f>$I$28/'Fixed data'!$C$7</f>
        <v>-1.9036900489468805E-2</v>
      </c>
      <c r="AB34" s="35">
        <f>$I$28/'Fixed data'!$C$7</f>
        <v>-1.9036900489468805E-2</v>
      </c>
      <c r="AC34" s="35">
        <f>$I$28/'Fixed data'!$C$7</f>
        <v>-1.9036900489468805E-2</v>
      </c>
      <c r="AD34" s="35">
        <f>$I$28/'Fixed data'!$C$7</f>
        <v>-1.9036900489468805E-2</v>
      </c>
      <c r="AE34" s="35">
        <f>$I$28/'Fixed data'!$C$7</f>
        <v>-1.9036900489468805E-2</v>
      </c>
      <c r="AF34" s="35">
        <f>$I$28/'Fixed data'!$C$7</f>
        <v>-1.9036900489468805E-2</v>
      </c>
      <c r="AG34" s="35">
        <f>$I$28/'Fixed data'!$C$7</f>
        <v>-1.9036900489468805E-2</v>
      </c>
      <c r="AH34" s="35">
        <f>$I$28/'Fixed data'!$C$7</f>
        <v>-1.9036900489468805E-2</v>
      </c>
      <c r="AI34" s="35">
        <f>$I$28/'Fixed data'!$C$7</f>
        <v>-1.9036900489468805E-2</v>
      </c>
      <c r="AJ34" s="35">
        <f>$I$28/'Fixed data'!$C$7</f>
        <v>-1.9036900489468805E-2</v>
      </c>
      <c r="AK34" s="35">
        <f>$I$28/'Fixed data'!$C$7</f>
        <v>-1.9036900489468805E-2</v>
      </c>
      <c r="AL34" s="35">
        <f>$I$28/'Fixed data'!$C$7</f>
        <v>-1.9036900489468805E-2</v>
      </c>
      <c r="AM34" s="35">
        <f>$I$28/'Fixed data'!$C$7</f>
        <v>-1.9036900489468805E-2</v>
      </c>
      <c r="AN34" s="35">
        <f>$I$28/'Fixed data'!$C$7</f>
        <v>-1.9036900489468805E-2</v>
      </c>
      <c r="AO34" s="35">
        <f>$I$28/'Fixed data'!$C$7</f>
        <v>-1.9036900489468805E-2</v>
      </c>
      <c r="AP34" s="35">
        <f>$I$28/'Fixed data'!$C$7</f>
        <v>-1.9036900489468805E-2</v>
      </c>
      <c r="AQ34" s="35">
        <f>$I$28/'Fixed data'!$C$7</f>
        <v>-1.9036900489468805E-2</v>
      </c>
      <c r="AR34" s="35">
        <f>$I$28/'Fixed data'!$C$7</f>
        <v>-1.9036900489468805E-2</v>
      </c>
      <c r="AS34" s="35">
        <f>$I$28/'Fixed data'!$C$7</f>
        <v>-1.9036900489468805E-2</v>
      </c>
      <c r="AT34" s="35">
        <f>$I$28/'Fixed data'!$C$7</f>
        <v>-1.9036900489468805E-2</v>
      </c>
      <c r="AU34" s="35">
        <f>$I$28/'Fixed data'!$C$7</f>
        <v>-1.9036900489468805E-2</v>
      </c>
      <c r="AV34" s="35">
        <f>$I$28/'Fixed data'!$C$7</f>
        <v>-1.9036900489468805E-2</v>
      </c>
      <c r="AW34" s="35">
        <f>$I$28/'Fixed data'!$C$7</f>
        <v>-1.9036900489468805E-2</v>
      </c>
      <c r="AX34" s="35">
        <f>$I$28/'Fixed data'!$C$7</f>
        <v>-1.9036900489468805E-2</v>
      </c>
      <c r="AY34" s="35">
        <f>$I$28/'Fixed data'!$C$7</f>
        <v>-1.9036900489468805E-2</v>
      </c>
      <c r="AZ34" s="35">
        <f>$I$28/'Fixed data'!$C$7</f>
        <v>-1.9036900489468805E-2</v>
      </c>
      <c r="BA34" s="35">
        <f>$I$28/'Fixed data'!$C$7</f>
        <v>-1.9036900489468805E-2</v>
      </c>
      <c r="BB34" s="35">
        <f>$I$28/'Fixed data'!$C$7</f>
        <v>-1.9036900489468805E-2</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-1.1134186300463459E-2</v>
      </c>
      <c r="G60" s="35">
        <f t="shared" si="5"/>
        <v>-2.2893465418039216E-2</v>
      </c>
      <c r="H60" s="35">
        <f t="shared" si="5"/>
        <v>-3.7772118853513961E-2</v>
      </c>
      <c r="I60" s="35">
        <f t="shared" si="5"/>
        <v>-5.2936896653594766E-2</v>
      </c>
      <c r="J60" s="35">
        <f t="shared" si="5"/>
        <v>-7.1973797143063567E-2</v>
      </c>
      <c r="K60" s="35">
        <f t="shared" si="5"/>
        <v>-7.1973797143063567E-2</v>
      </c>
      <c r="L60" s="35">
        <f t="shared" si="5"/>
        <v>-7.1973797143063567E-2</v>
      </c>
      <c r="M60" s="35">
        <f t="shared" si="5"/>
        <v>-7.1973797143063567E-2</v>
      </c>
      <c r="N60" s="35">
        <f t="shared" si="5"/>
        <v>-7.1973797143063567E-2</v>
      </c>
      <c r="O60" s="35">
        <f t="shared" si="5"/>
        <v>-7.1973797143063567E-2</v>
      </c>
      <c r="P60" s="35">
        <f t="shared" si="5"/>
        <v>-7.1973797143063567E-2</v>
      </c>
      <c r="Q60" s="35">
        <f t="shared" si="5"/>
        <v>-7.1973797143063567E-2</v>
      </c>
      <c r="R60" s="35">
        <f t="shared" si="5"/>
        <v>-7.1973797143063567E-2</v>
      </c>
      <c r="S60" s="35">
        <f t="shared" si="5"/>
        <v>-7.1973797143063567E-2</v>
      </c>
      <c r="T60" s="35">
        <f t="shared" si="5"/>
        <v>-7.1973797143063567E-2</v>
      </c>
      <c r="U60" s="35">
        <f t="shared" si="5"/>
        <v>-7.1973797143063567E-2</v>
      </c>
      <c r="V60" s="35">
        <f t="shared" si="5"/>
        <v>-7.1973797143063567E-2</v>
      </c>
      <c r="W60" s="35">
        <f t="shared" si="5"/>
        <v>-7.1973797143063567E-2</v>
      </c>
      <c r="X60" s="35">
        <f t="shared" si="5"/>
        <v>-7.1973797143063567E-2</v>
      </c>
      <c r="Y60" s="35">
        <f t="shared" si="5"/>
        <v>-7.1973797143063567E-2</v>
      </c>
      <c r="Z60" s="35">
        <f t="shared" si="5"/>
        <v>-7.1973797143063567E-2</v>
      </c>
      <c r="AA60" s="35">
        <f t="shared" si="5"/>
        <v>-7.1973797143063567E-2</v>
      </c>
      <c r="AB60" s="35">
        <f t="shared" si="5"/>
        <v>-7.1973797143063567E-2</v>
      </c>
      <c r="AC60" s="35">
        <f t="shared" si="5"/>
        <v>-7.1973797143063567E-2</v>
      </c>
      <c r="AD60" s="35">
        <f t="shared" si="5"/>
        <v>-7.1973797143063567E-2</v>
      </c>
      <c r="AE60" s="35">
        <f t="shared" si="5"/>
        <v>-7.1973797143063567E-2</v>
      </c>
      <c r="AF60" s="35">
        <f t="shared" si="5"/>
        <v>-7.1973797143063567E-2</v>
      </c>
      <c r="AG60" s="35">
        <f t="shared" si="5"/>
        <v>-7.1973797143063567E-2</v>
      </c>
      <c r="AH60" s="35">
        <f t="shared" si="5"/>
        <v>-7.1973797143063567E-2</v>
      </c>
      <c r="AI60" s="35">
        <f t="shared" si="5"/>
        <v>-7.1973797143063567E-2</v>
      </c>
      <c r="AJ60" s="35">
        <f t="shared" si="5"/>
        <v>-7.1973797143063567E-2</v>
      </c>
      <c r="AK60" s="35">
        <f t="shared" si="5"/>
        <v>-7.1973797143063567E-2</v>
      </c>
      <c r="AL60" s="35">
        <f t="shared" si="5"/>
        <v>-7.1973797143063567E-2</v>
      </c>
      <c r="AM60" s="35">
        <f t="shared" si="5"/>
        <v>-7.1973797143063567E-2</v>
      </c>
      <c r="AN60" s="35">
        <f t="shared" si="5"/>
        <v>-7.1973797143063567E-2</v>
      </c>
      <c r="AO60" s="35">
        <f t="shared" si="5"/>
        <v>-7.1973797143063567E-2</v>
      </c>
      <c r="AP60" s="35">
        <f t="shared" si="5"/>
        <v>-7.1973797143063567E-2</v>
      </c>
      <c r="AQ60" s="35">
        <f t="shared" si="5"/>
        <v>-7.1973797143063567E-2</v>
      </c>
      <c r="AR60" s="35">
        <f t="shared" si="5"/>
        <v>-7.1973797143063567E-2</v>
      </c>
      <c r="AS60" s="35">
        <f t="shared" si="5"/>
        <v>-7.1973797143063567E-2</v>
      </c>
      <c r="AT60" s="35">
        <f t="shared" si="5"/>
        <v>-7.1973797143063567E-2</v>
      </c>
      <c r="AU60" s="35">
        <f t="shared" si="5"/>
        <v>-7.1973797143063567E-2</v>
      </c>
      <c r="AV60" s="35">
        <f t="shared" si="5"/>
        <v>-7.1973797143063567E-2</v>
      </c>
      <c r="AW60" s="35">
        <f t="shared" si="5"/>
        <v>-7.1973797143063567E-2</v>
      </c>
      <c r="AX60" s="35">
        <f t="shared" si="5"/>
        <v>-7.1973797143063567E-2</v>
      </c>
      <c r="AY60" s="35">
        <f t="shared" si="5"/>
        <v>-6.0839610842600117E-2</v>
      </c>
      <c r="AZ60" s="35">
        <f t="shared" si="5"/>
        <v>-4.9080331725024351E-2</v>
      </c>
      <c r="BA60" s="35">
        <f t="shared" si="5"/>
        <v>-3.4201678289549613E-2</v>
      </c>
      <c r="BB60" s="35">
        <f t="shared" si="5"/>
        <v>-1.9036900489468805E-2</v>
      </c>
      <c r="BC60" s="35">
        <f t="shared" si="5"/>
        <v>0</v>
      </c>
      <c r="BD60" s="35">
        <f t="shared" si="5"/>
        <v>0</v>
      </c>
    </row>
    <row r="61" spans="1:56" ht="17.25" hidden="1" customHeight="1" outlineLevel="1" x14ac:dyDescent="0.35">
      <c r="A61" s="114"/>
      <c r="B61" s="9" t="s">
        <v>34</v>
      </c>
      <c r="C61" s="9" t="s">
        <v>60</v>
      </c>
      <c r="D61" s="9" t="s">
        <v>39</v>
      </c>
      <c r="E61" s="35">
        <v>0</v>
      </c>
      <c r="F61" s="35">
        <f>E62</f>
        <v>-0.50103838352085561</v>
      </c>
      <c r="G61" s="35">
        <f t="shared" ref="G61:BD61" si="6">F62</f>
        <v>-1.0190717575113013</v>
      </c>
      <c r="H61" s="35">
        <f t="shared" si="6"/>
        <v>-1.6657176966896257</v>
      </c>
      <c r="I61" s="35">
        <f t="shared" si="6"/>
        <v>-2.3103605788397479</v>
      </c>
      <c r="J61" s="35">
        <f t="shared" si="6"/>
        <v>-3.1140842042122494</v>
      </c>
      <c r="K61" s="35">
        <f t="shared" si="6"/>
        <v>-3.042110407069186</v>
      </c>
      <c r="L61" s="35">
        <f t="shared" si="6"/>
        <v>-2.9701366099261226</v>
      </c>
      <c r="M61" s="35">
        <f t="shared" si="6"/>
        <v>-2.8981628127830592</v>
      </c>
      <c r="N61" s="35">
        <f t="shared" si="6"/>
        <v>-2.8261890156399958</v>
      </c>
      <c r="O61" s="35">
        <f t="shared" si="6"/>
        <v>-2.7542152184969324</v>
      </c>
      <c r="P61" s="35">
        <f t="shared" si="6"/>
        <v>-2.682241421353869</v>
      </c>
      <c r="Q61" s="35">
        <f t="shared" si="6"/>
        <v>-2.6102676242108056</v>
      </c>
      <c r="R61" s="35">
        <f t="shared" si="6"/>
        <v>-2.5382938270677422</v>
      </c>
      <c r="S61" s="35">
        <f t="shared" si="6"/>
        <v>-2.4663200299246788</v>
      </c>
      <c r="T61" s="35">
        <f t="shared" si="6"/>
        <v>-2.3943462327816154</v>
      </c>
      <c r="U61" s="35">
        <f t="shared" si="6"/>
        <v>-2.322372435638552</v>
      </c>
      <c r="V61" s="35">
        <f t="shared" si="6"/>
        <v>-2.2503986384954886</v>
      </c>
      <c r="W61" s="35">
        <f t="shared" si="6"/>
        <v>-2.1784248413524252</v>
      </c>
      <c r="X61" s="35">
        <f t="shared" si="6"/>
        <v>-2.1064510442093618</v>
      </c>
      <c r="Y61" s="35">
        <f t="shared" si="6"/>
        <v>-2.0344772470662984</v>
      </c>
      <c r="Z61" s="35">
        <f t="shared" si="6"/>
        <v>-1.9625034499232348</v>
      </c>
      <c r="AA61" s="35">
        <f t="shared" si="6"/>
        <v>-1.8905296527801712</v>
      </c>
      <c r="AB61" s="35">
        <f t="shared" si="6"/>
        <v>-1.8185558556371075</v>
      </c>
      <c r="AC61" s="35">
        <f t="shared" si="6"/>
        <v>-1.7465820584940439</v>
      </c>
      <c r="AD61" s="35">
        <f t="shared" si="6"/>
        <v>-1.6746082613509803</v>
      </c>
      <c r="AE61" s="35">
        <f t="shared" si="6"/>
        <v>-1.6026344642079167</v>
      </c>
      <c r="AF61" s="35">
        <f t="shared" si="6"/>
        <v>-1.530660667064853</v>
      </c>
      <c r="AG61" s="35">
        <f t="shared" si="6"/>
        <v>-1.4586868699217894</v>
      </c>
      <c r="AH61" s="35">
        <f t="shared" si="6"/>
        <v>-1.3867130727787258</v>
      </c>
      <c r="AI61" s="35">
        <f t="shared" si="6"/>
        <v>-1.3147392756356622</v>
      </c>
      <c r="AJ61" s="35">
        <f t="shared" si="6"/>
        <v>-1.2427654784925986</v>
      </c>
      <c r="AK61" s="35">
        <f t="shared" si="6"/>
        <v>-1.1707916813495349</v>
      </c>
      <c r="AL61" s="35">
        <f t="shared" si="6"/>
        <v>-1.0988178842064713</v>
      </c>
      <c r="AM61" s="35">
        <f t="shared" si="6"/>
        <v>-1.0268440870634077</v>
      </c>
      <c r="AN61" s="35">
        <f t="shared" si="6"/>
        <v>-0.95487028992034406</v>
      </c>
      <c r="AO61" s="35">
        <f t="shared" si="6"/>
        <v>-0.88289649277728044</v>
      </c>
      <c r="AP61" s="35">
        <f t="shared" si="6"/>
        <v>-0.81092269563421682</v>
      </c>
      <c r="AQ61" s="35">
        <f t="shared" si="6"/>
        <v>-0.73894889849115319</v>
      </c>
      <c r="AR61" s="35">
        <f t="shared" si="6"/>
        <v>-0.66697510134808957</v>
      </c>
      <c r="AS61" s="35">
        <f t="shared" si="6"/>
        <v>-0.59500130420502595</v>
      </c>
      <c r="AT61" s="35">
        <f t="shared" si="6"/>
        <v>-0.52302750706196233</v>
      </c>
      <c r="AU61" s="35">
        <f t="shared" si="6"/>
        <v>-0.45105370991889876</v>
      </c>
      <c r="AV61" s="35">
        <f t="shared" si="6"/>
        <v>-0.37907991277583519</v>
      </c>
      <c r="AW61" s="35">
        <f t="shared" si="6"/>
        <v>-0.30710611563277163</v>
      </c>
      <c r="AX61" s="35">
        <f t="shared" si="6"/>
        <v>-0.23513231848970806</v>
      </c>
      <c r="AY61" s="35">
        <f t="shared" si="6"/>
        <v>-0.16315852134664449</v>
      </c>
      <c r="AZ61" s="35">
        <f t="shared" si="6"/>
        <v>-0.10231891050404437</v>
      </c>
      <c r="BA61" s="35">
        <f t="shared" si="6"/>
        <v>-5.3238578779020024E-2</v>
      </c>
      <c r="BB61" s="35">
        <f t="shared" si="6"/>
        <v>-1.9036900489470411E-2</v>
      </c>
      <c r="BC61" s="35">
        <f t="shared" si="6"/>
        <v>-1.6063539387545234E-15</v>
      </c>
      <c r="BD61" s="35">
        <f t="shared" si="6"/>
        <v>-1.6063539387545234E-15</v>
      </c>
    </row>
    <row r="62" spans="1:56" ht="16.5" hidden="1" customHeight="1" outlineLevel="1" x14ac:dyDescent="0.3">
      <c r="A62" s="114"/>
      <c r="B62" s="9" t="s">
        <v>33</v>
      </c>
      <c r="C62" s="9" t="s">
        <v>67</v>
      </c>
      <c r="D62" s="9" t="s">
        <v>39</v>
      </c>
      <c r="E62" s="35">
        <f t="shared" ref="E62:BD62" si="7">E28-E60+E61</f>
        <v>-0.50103838352085561</v>
      </c>
      <c r="F62" s="35">
        <f t="shared" si="7"/>
        <v>-1.0190717575113013</v>
      </c>
      <c r="G62" s="35">
        <f t="shared" si="7"/>
        <v>-1.6657176966896257</v>
      </c>
      <c r="H62" s="35">
        <f t="shared" si="7"/>
        <v>-2.3103605788397479</v>
      </c>
      <c r="I62" s="35">
        <f t="shared" si="7"/>
        <v>-3.1140842042122494</v>
      </c>
      <c r="J62" s="35">
        <f t="shared" si="7"/>
        <v>-3.042110407069186</v>
      </c>
      <c r="K62" s="35">
        <f t="shared" si="7"/>
        <v>-2.9701366099261226</v>
      </c>
      <c r="L62" s="35">
        <f t="shared" si="7"/>
        <v>-2.8981628127830592</v>
      </c>
      <c r="M62" s="35">
        <f t="shared" si="7"/>
        <v>-2.8261890156399958</v>
      </c>
      <c r="N62" s="35">
        <f t="shared" si="7"/>
        <v>-2.7542152184969324</v>
      </c>
      <c r="O62" s="35">
        <f t="shared" si="7"/>
        <v>-2.682241421353869</v>
      </c>
      <c r="P62" s="35">
        <f t="shared" si="7"/>
        <v>-2.6102676242108056</v>
      </c>
      <c r="Q62" s="35">
        <f t="shared" si="7"/>
        <v>-2.5382938270677422</v>
      </c>
      <c r="R62" s="35">
        <f t="shared" si="7"/>
        <v>-2.4663200299246788</v>
      </c>
      <c r="S62" s="35">
        <f t="shared" si="7"/>
        <v>-2.3943462327816154</v>
      </c>
      <c r="T62" s="35">
        <f t="shared" si="7"/>
        <v>-2.322372435638552</v>
      </c>
      <c r="U62" s="35">
        <f t="shared" si="7"/>
        <v>-2.2503986384954886</v>
      </c>
      <c r="V62" s="35">
        <f t="shared" si="7"/>
        <v>-2.1784248413524252</v>
      </c>
      <c r="W62" s="35">
        <f t="shared" si="7"/>
        <v>-2.1064510442093618</v>
      </c>
      <c r="X62" s="35">
        <f t="shared" si="7"/>
        <v>-2.0344772470662984</v>
      </c>
      <c r="Y62" s="35">
        <f t="shared" si="7"/>
        <v>-1.9625034499232348</v>
      </c>
      <c r="Z62" s="35">
        <f t="shared" si="7"/>
        <v>-1.8905296527801712</v>
      </c>
      <c r="AA62" s="35">
        <f t="shared" si="7"/>
        <v>-1.8185558556371075</v>
      </c>
      <c r="AB62" s="35">
        <f t="shared" si="7"/>
        <v>-1.7465820584940439</v>
      </c>
      <c r="AC62" s="35">
        <f t="shared" si="7"/>
        <v>-1.6746082613509803</v>
      </c>
      <c r="AD62" s="35">
        <f t="shared" si="7"/>
        <v>-1.6026344642079167</v>
      </c>
      <c r="AE62" s="35">
        <f t="shared" si="7"/>
        <v>-1.530660667064853</v>
      </c>
      <c r="AF62" s="35">
        <f t="shared" si="7"/>
        <v>-1.4586868699217894</v>
      </c>
      <c r="AG62" s="35">
        <f t="shared" si="7"/>
        <v>-1.3867130727787258</v>
      </c>
      <c r="AH62" s="35">
        <f t="shared" si="7"/>
        <v>-1.3147392756356622</v>
      </c>
      <c r="AI62" s="35">
        <f t="shared" si="7"/>
        <v>-1.2427654784925986</v>
      </c>
      <c r="AJ62" s="35">
        <f t="shared" si="7"/>
        <v>-1.1707916813495349</v>
      </c>
      <c r="AK62" s="35">
        <f t="shared" si="7"/>
        <v>-1.0988178842064713</v>
      </c>
      <c r="AL62" s="35">
        <f t="shared" si="7"/>
        <v>-1.0268440870634077</v>
      </c>
      <c r="AM62" s="35">
        <f t="shared" si="7"/>
        <v>-0.95487028992034406</v>
      </c>
      <c r="AN62" s="35">
        <f t="shared" si="7"/>
        <v>-0.88289649277728044</v>
      </c>
      <c r="AO62" s="35">
        <f t="shared" si="7"/>
        <v>-0.81092269563421682</v>
      </c>
      <c r="AP62" s="35">
        <f t="shared" si="7"/>
        <v>-0.73894889849115319</v>
      </c>
      <c r="AQ62" s="35">
        <f t="shared" si="7"/>
        <v>-0.66697510134808957</v>
      </c>
      <c r="AR62" s="35">
        <f t="shared" si="7"/>
        <v>-0.59500130420502595</v>
      </c>
      <c r="AS62" s="35">
        <f t="shared" si="7"/>
        <v>-0.52302750706196233</v>
      </c>
      <c r="AT62" s="35">
        <f t="shared" si="7"/>
        <v>-0.45105370991889876</v>
      </c>
      <c r="AU62" s="35">
        <f t="shared" si="7"/>
        <v>-0.37907991277583519</v>
      </c>
      <c r="AV62" s="35">
        <f t="shared" si="7"/>
        <v>-0.30710611563277163</v>
      </c>
      <c r="AW62" s="35">
        <f t="shared" si="7"/>
        <v>-0.23513231848970806</v>
      </c>
      <c r="AX62" s="35">
        <f t="shared" si="7"/>
        <v>-0.16315852134664449</v>
      </c>
      <c r="AY62" s="35">
        <f t="shared" si="7"/>
        <v>-0.10231891050404437</v>
      </c>
      <c r="AZ62" s="35">
        <f t="shared" si="7"/>
        <v>-5.3238578779020024E-2</v>
      </c>
      <c r="BA62" s="35">
        <f t="shared" si="7"/>
        <v>-1.9036900489470411E-2</v>
      </c>
      <c r="BB62" s="35">
        <f t="shared" si="7"/>
        <v>-1.6063539387545234E-15</v>
      </c>
      <c r="BC62" s="35">
        <f t="shared" si="7"/>
        <v>-1.6063539387545234E-15</v>
      </c>
      <c r="BD62" s="35">
        <f t="shared" si="7"/>
        <v>-1.6063539387545234E-15</v>
      </c>
    </row>
    <row r="63" spans="1:56" ht="16.5" collapsed="1" x14ac:dyDescent="0.3">
      <c r="A63" s="114"/>
      <c r="B63" s="9" t="s">
        <v>8</v>
      </c>
      <c r="C63" s="11" t="s">
        <v>66</v>
      </c>
      <c r="D63" s="9" t="s">
        <v>39</v>
      </c>
      <c r="E63" s="35">
        <f>AVERAGE(E61:E62)*'Fixed data'!$C$3</f>
        <v>-1.0020767670417112E-2</v>
      </c>
      <c r="F63" s="35">
        <f>AVERAGE(F61:F62)*'Fixed data'!$C$3</f>
        <v>-3.040220282064314E-2</v>
      </c>
      <c r="G63" s="35">
        <f>AVERAGE(G61:G62)*'Fixed data'!$C$3</f>
        <v>-5.3695789084018543E-2</v>
      </c>
      <c r="H63" s="35">
        <f>AVERAGE(H61:H62)*'Fixed data'!$C$3</f>
        <v>-7.9521565510587477E-2</v>
      </c>
      <c r="I63" s="35">
        <f>AVERAGE(I61:I62)*'Fixed data'!$C$3</f>
        <v>-0.10848889566103996</v>
      </c>
      <c r="J63" s="35">
        <f>AVERAGE(J61:J62)*'Fixed data'!$C$3</f>
        <v>-0.12312389222562871</v>
      </c>
      <c r="K63" s="35">
        <f>AVERAGE(K61:K62)*'Fixed data'!$C$3</f>
        <v>-0.12024494033990618</v>
      </c>
      <c r="L63" s="35">
        <f>AVERAGE(L61:L62)*'Fixed data'!$C$3</f>
        <v>-0.11736598845418364</v>
      </c>
      <c r="M63" s="35">
        <f>AVERAGE(M61:M62)*'Fixed data'!$C$3</f>
        <v>-0.1144870365684611</v>
      </c>
      <c r="N63" s="35">
        <f>AVERAGE(N61:N62)*'Fixed data'!$C$3</f>
        <v>-0.11160808468273857</v>
      </c>
      <c r="O63" s="35">
        <f>AVERAGE(O61:O62)*'Fixed data'!$C$3</f>
        <v>-0.10872913279701603</v>
      </c>
      <c r="P63" s="35">
        <f>AVERAGE(P61:P62)*'Fixed data'!$C$3</f>
        <v>-0.1058501809112935</v>
      </c>
      <c r="Q63" s="35">
        <f>AVERAGE(Q61:Q62)*'Fixed data'!$C$3</f>
        <v>-0.10297122902557096</v>
      </c>
      <c r="R63" s="35">
        <f>AVERAGE(R61:R62)*'Fixed data'!$C$3</f>
        <v>-0.10009227713984842</v>
      </c>
      <c r="S63" s="35">
        <f>AVERAGE(S61:S62)*'Fixed data'!$C$3</f>
        <v>-9.721332525412589E-2</v>
      </c>
      <c r="T63" s="35">
        <f>AVERAGE(T61:T62)*'Fixed data'!$C$3</f>
        <v>-9.4334373368403349E-2</v>
      </c>
      <c r="U63" s="35">
        <f>AVERAGE(U61:U62)*'Fixed data'!$C$3</f>
        <v>-9.1455421482680807E-2</v>
      </c>
      <c r="V63" s="35">
        <f>AVERAGE(V61:V62)*'Fixed data'!$C$3</f>
        <v>-8.8576469596958279E-2</v>
      </c>
      <c r="W63" s="35">
        <f>AVERAGE(W61:W62)*'Fixed data'!$C$3</f>
        <v>-8.5697517711235738E-2</v>
      </c>
      <c r="X63" s="35">
        <f>AVERAGE(X61:X62)*'Fixed data'!$C$3</f>
        <v>-8.281856582551321E-2</v>
      </c>
      <c r="Y63" s="35">
        <f>AVERAGE(Y61:Y62)*'Fixed data'!$C$3</f>
        <v>-7.9939613939790669E-2</v>
      </c>
      <c r="Z63" s="35">
        <f>AVERAGE(Z61:Z62)*'Fixed data'!$C$3</f>
        <v>-7.7060662054068113E-2</v>
      </c>
      <c r="AA63" s="35">
        <f>AVERAGE(AA61:AA62)*'Fixed data'!$C$3</f>
        <v>-7.4181710168345585E-2</v>
      </c>
      <c r="AB63" s="35">
        <f>AVERAGE(AB61:AB62)*'Fixed data'!$C$3</f>
        <v>-7.130275828262303E-2</v>
      </c>
      <c r="AC63" s="35">
        <f>AVERAGE(AC61:AC62)*'Fixed data'!$C$3</f>
        <v>-6.8423806396900488E-2</v>
      </c>
      <c r="AD63" s="35">
        <f>AVERAGE(AD61:AD62)*'Fixed data'!$C$3</f>
        <v>-6.5544854511177933E-2</v>
      </c>
      <c r="AE63" s="35">
        <f>AVERAGE(AE61:AE62)*'Fixed data'!$C$3</f>
        <v>-6.2665902625455405E-2</v>
      </c>
      <c r="AF63" s="35">
        <f>AVERAGE(AF61:AF62)*'Fixed data'!$C$3</f>
        <v>-5.9786950739732843E-2</v>
      </c>
      <c r="AG63" s="35">
        <f>AVERAGE(AG61:AG62)*'Fixed data'!$C$3</f>
        <v>-5.6907998854010308E-2</v>
      </c>
      <c r="AH63" s="35">
        <f>AVERAGE(AH61:AH62)*'Fixed data'!$C$3</f>
        <v>-5.4029046968287753E-2</v>
      </c>
      <c r="AI63" s="35">
        <f>AVERAGE(AI61:AI62)*'Fixed data'!$C$3</f>
        <v>-5.1150095082565218E-2</v>
      </c>
      <c r="AJ63" s="35">
        <f>AVERAGE(AJ61:AJ62)*'Fixed data'!$C$3</f>
        <v>-4.827114319684267E-2</v>
      </c>
      <c r="AK63" s="35">
        <f>AVERAGE(AK61:AK62)*'Fixed data'!$C$3</f>
        <v>-4.5392191311120128E-2</v>
      </c>
      <c r="AL63" s="35">
        <f>AVERAGE(AL61:AL62)*'Fixed data'!$C$3</f>
        <v>-4.251323942539758E-2</v>
      </c>
      <c r="AM63" s="35">
        <f>AVERAGE(AM61:AM62)*'Fixed data'!$C$3</f>
        <v>-3.9634287539675038E-2</v>
      </c>
      <c r="AN63" s="35">
        <f>AVERAGE(AN61:AN62)*'Fixed data'!$C$3</f>
        <v>-3.6755335653952489E-2</v>
      </c>
      <c r="AO63" s="35">
        <f>AVERAGE(AO61:AO62)*'Fixed data'!$C$3</f>
        <v>-3.3876383768229948E-2</v>
      </c>
      <c r="AP63" s="35">
        <f>AVERAGE(AP61:AP62)*'Fixed data'!$C$3</f>
        <v>-3.0997431882507399E-2</v>
      </c>
      <c r="AQ63" s="35">
        <f>AVERAGE(AQ61:AQ62)*'Fixed data'!$C$3</f>
        <v>-2.8118479996784854E-2</v>
      </c>
      <c r="AR63" s="35">
        <f>AVERAGE(AR61:AR62)*'Fixed data'!$C$3</f>
        <v>-2.5239528111062309E-2</v>
      </c>
      <c r="AS63" s="35">
        <f>AVERAGE(AS61:AS62)*'Fixed data'!$C$3</f>
        <v>-2.2360576225339764E-2</v>
      </c>
      <c r="AT63" s="35">
        <f>AVERAGE(AT61:AT62)*'Fixed data'!$C$3</f>
        <v>-1.9481624339617223E-2</v>
      </c>
      <c r="AU63" s="35">
        <f>AVERAGE(AU61:AU62)*'Fixed data'!$C$3</f>
        <v>-1.6602672453894681E-2</v>
      </c>
      <c r="AV63" s="35">
        <f>AVERAGE(AV61:AV62)*'Fixed data'!$C$3</f>
        <v>-1.3723720568172136E-2</v>
      </c>
      <c r="AW63" s="35">
        <f>AVERAGE(AW61:AW62)*'Fixed data'!$C$3</f>
        <v>-1.0844768682449595E-2</v>
      </c>
      <c r="AX63" s="35">
        <f>AVERAGE(AX61:AX62)*'Fixed data'!$C$3</f>
        <v>-7.9658167967270512E-3</v>
      </c>
      <c r="AY63" s="35">
        <f>AVERAGE(AY61:AY62)*'Fixed data'!$C$3</f>
        <v>-5.3095486370137767E-3</v>
      </c>
      <c r="AZ63" s="35">
        <f>AVERAGE(AZ61:AZ62)*'Fixed data'!$C$3</f>
        <v>-3.1111497856612879E-3</v>
      </c>
      <c r="BA63" s="35">
        <f>AVERAGE(BA61:BA62)*'Fixed data'!$C$3</f>
        <v>-1.4455095853698086E-3</v>
      </c>
      <c r="BB63" s="35">
        <f>AVERAGE(BB61:BB62)*'Fixed data'!$C$3</f>
        <v>-3.8073800978944035E-4</v>
      </c>
      <c r="BC63" s="35">
        <f>AVERAGE(BC61:BC62)*'Fixed data'!$C$3</f>
        <v>-6.4254157550180933E-17</v>
      </c>
      <c r="BD63" s="35">
        <f>AVERAGE(BD61:BD62)*'Fixed data'!$C$3</f>
        <v>-6.4254157550180933E-17</v>
      </c>
    </row>
    <row r="64" spans="1:56" ht="15.75" thickBot="1" x14ac:dyDescent="0.35">
      <c r="A64" s="113"/>
      <c r="B64" s="12" t="s">
        <v>92</v>
      </c>
      <c r="C64" s="12" t="s">
        <v>44</v>
      </c>
      <c r="D64" s="12" t="s">
        <v>39</v>
      </c>
      <c r="E64" s="53">
        <f t="shared" ref="E64:BD64" si="8">E29+E60+E63</f>
        <v>-0.22475150346506953</v>
      </c>
      <c r="F64" s="53">
        <f t="shared" si="8"/>
        <v>-0.26832248638863909</v>
      </c>
      <c r="G64" s="53">
        <f t="shared" si="8"/>
        <v>-0.36353471361478507</v>
      </c>
      <c r="H64" s="53">
        <f t="shared" si="8"/>
        <v>-0.40975725622280273</v>
      </c>
      <c r="I64" s="53">
        <f t="shared" si="8"/>
        <v>-0.52856601604010456</v>
      </c>
      <c r="J64" s="53">
        <f t="shared" si="8"/>
        <v>-0.19509768936869226</v>
      </c>
      <c r="K64" s="53">
        <f t="shared" si="8"/>
        <v>-0.19221873748296975</v>
      </c>
      <c r="L64" s="53">
        <f t="shared" si="8"/>
        <v>-0.18933978559724721</v>
      </c>
      <c r="M64" s="53">
        <f t="shared" si="8"/>
        <v>-0.18646083371152467</v>
      </c>
      <c r="N64" s="53">
        <f t="shared" si="8"/>
        <v>-0.18358188182580215</v>
      </c>
      <c r="O64" s="53">
        <f t="shared" si="8"/>
        <v>-0.18070292994007958</v>
      </c>
      <c r="P64" s="53">
        <f t="shared" si="8"/>
        <v>-0.17782397805435707</v>
      </c>
      <c r="Q64" s="53">
        <f t="shared" si="8"/>
        <v>-0.17494502616863453</v>
      </c>
      <c r="R64" s="53">
        <f t="shared" si="8"/>
        <v>-0.17206607428291198</v>
      </c>
      <c r="S64" s="53">
        <f t="shared" si="8"/>
        <v>-0.16918712239718947</v>
      </c>
      <c r="T64" s="53">
        <f t="shared" si="8"/>
        <v>-0.1663081705114669</v>
      </c>
      <c r="U64" s="53">
        <f t="shared" si="8"/>
        <v>-0.16342921862574439</v>
      </c>
      <c r="V64" s="53">
        <f t="shared" si="8"/>
        <v>-0.16055026674002185</v>
      </c>
      <c r="W64" s="53">
        <f t="shared" si="8"/>
        <v>-0.1576713148542993</v>
      </c>
      <c r="X64" s="53">
        <f t="shared" si="8"/>
        <v>-0.15479236296857679</v>
      </c>
      <c r="Y64" s="53">
        <f t="shared" si="8"/>
        <v>-0.15191341108285422</v>
      </c>
      <c r="Z64" s="53">
        <f t="shared" si="8"/>
        <v>-0.14903445919713168</v>
      </c>
      <c r="AA64" s="53">
        <f t="shared" si="8"/>
        <v>-0.14615550731140914</v>
      </c>
      <c r="AB64" s="53">
        <f t="shared" si="8"/>
        <v>-0.1432765554256866</v>
      </c>
      <c r="AC64" s="53">
        <f t="shared" si="8"/>
        <v>-0.14039760353996406</v>
      </c>
      <c r="AD64" s="53">
        <f t="shared" si="8"/>
        <v>-0.13751865165424149</v>
      </c>
      <c r="AE64" s="53">
        <f t="shared" si="8"/>
        <v>-0.13463969976851897</v>
      </c>
      <c r="AF64" s="53">
        <f t="shared" si="8"/>
        <v>-0.1317607478827964</v>
      </c>
      <c r="AG64" s="53">
        <f t="shared" si="8"/>
        <v>-0.12888179599707389</v>
      </c>
      <c r="AH64" s="53">
        <f t="shared" si="8"/>
        <v>-0.12600284411135132</v>
      </c>
      <c r="AI64" s="53">
        <f t="shared" si="8"/>
        <v>-0.12312389222562878</v>
      </c>
      <c r="AJ64" s="53">
        <f t="shared" si="8"/>
        <v>-0.12024494033990624</v>
      </c>
      <c r="AK64" s="53">
        <f t="shared" si="8"/>
        <v>-0.1173659884541837</v>
      </c>
      <c r="AL64" s="53">
        <f t="shared" si="8"/>
        <v>-0.11448703656846115</v>
      </c>
      <c r="AM64" s="53">
        <f t="shared" si="8"/>
        <v>-0.11160808468273861</v>
      </c>
      <c r="AN64" s="53">
        <f t="shared" si="8"/>
        <v>-0.10872913279701606</v>
      </c>
      <c r="AO64" s="53">
        <f t="shared" si="8"/>
        <v>-0.10585018091129351</v>
      </c>
      <c r="AP64" s="53">
        <f t="shared" si="8"/>
        <v>-0.10297122902557096</v>
      </c>
      <c r="AQ64" s="53">
        <f t="shared" si="8"/>
        <v>-0.10009227713984842</v>
      </c>
      <c r="AR64" s="53">
        <f t="shared" si="8"/>
        <v>-9.7213325254125876E-2</v>
      </c>
      <c r="AS64" s="53">
        <f t="shared" si="8"/>
        <v>-9.4334373368403335E-2</v>
      </c>
      <c r="AT64" s="53">
        <f t="shared" si="8"/>
        <v>-9.1455421482680793E-2</v>
      </c>
      <c r="AU64" s="53">
        <f t="shared" si="8"/>
        <v>-8.8576469596958252E-2</v>
      </c>
      <c r="AV64" s="53">
        <f t="shared" si="8"/>
        <v>-8.569751771123571E-2</v>
      </c>
      <c r="AW64" s="53">
        <f t="shared" si="8"/>
        <v>-8.2818565825513168E-2</v>
      </c>
      <c r="AX64" s="53">
        <f t="shared" si="8"/>
        <v>-7.9939613939790613E-2</v>
      </c>
      <c r="AY64" s="53">
        <f t="shared" si="8"/>
        <v>-6.6149159479613889E-2</v>
      </c>
      <c r="AZ64" s="53">
        <f t="shared" si="8"/>
        <v>-5.2191481510685638E-2</v>
      </c>
      <c r="BA64" s="53">
        <f t="shared" si="8"/>
        <v>-3.5647187874919418E-2</v>
      </c>
      <c r="BB64" s="53">
        <f t="shared" si="8"/>
        <v>-1.9417638499258247E-2</v>
      </c>
      <c r="BC64" s="53">
        <f t="shared" si="8"/>
        <v>-6.4254157550180933E-17</v>
      </c>
      <c r="BD64" s="53">
        <f t="shared" si="8"/>
        <v>-6.4254157550180933E-17</v>
      </c>
    </row>
    <row r="65" spans="1:56" ht="12.75" customHeight="1" x14ac:dyDescent="0.3">
      <c r="A65" s="64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4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43"/>
      <c r="B67" s="9" t="s">
        <v>295</v>
      </c>
      <c r="C67" s="11"/>
      <c r="D67" s="11" t="s">
        <v>39</v>
      </c>
      <c r="E67" s="82">
        <f>'Fixed data'!$G$7*E$88/1000000</f>
        <v>-0.55877936616499324</v>
      </c>
      <c r="F67" s="82">
        <f>'Fixed data'!$G$7*F$88/1000000</f>
        <v>-8.0300692512193572E-2</v>
      </c>
      <c r="G67" s="82">
        <f>'Fixed data'!$G$7*G$88/1000000</f>
        <v>-9.8348552541640544E-2</v>
      </c>
      <c r="H67" s="82">
        <f>'Fixed data'!$G$7*H$88/1000000</f>
        <v>-6.4798486298802097E-2</v>
      </c>
      <c r="I67" s="82">
        <f>'Fixed data'!$G$7*I$88/1000000</f>
        <v>-9.4046689615446169E-2</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43"/>
      <c r="B68" s="9" t="s">
        <v>296</v>
      </c>
      <c r="C68" s="9"/>
      <c r="D68" s="9" t="s">
        <v>39</v>
      </c>
      <c r="E68" s="82">
        <f>'Fixed data'!$G$8*E89/1000000</f>
        <v>-2.0613911620425949</v>
      </c>
      <c r="F68" s="82">
        <f>'Fixed data'!$G$8*F89/1000000</f>
        <v>-0.49069366481951365</v>
      </c>
      <c r="G68" s="82">
        <f>'Fixed data'!$G$8*G89/1000000</f>
        <v>-0.81900887819066581</v>
      </c>
      <c r="H68" s="82">
        <f>'Fixed data'!$G$8*H89/1000000</f>
        <v>-0.80410296994424313</v>
      </c>
      <c r="I68" s="82">
        <f>'Fixed data'!$G$8*I89/1000000</f>
        <v>-0.5574193313042265</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43"/>
      <c r="B69" s="4" t="s">
        <v>200</v>
      </c>
      <c r="D69" s="9" t="s">
        <v>39</v>
      </c>
      <c r="E69" s="35">
        <f>E90*'Fixed data'!H$5/1000000</f>
        <v>-4.9668065080534585E-3</v>
      </c>
      <c r="F69" s="35">
        <f>F90*'Fixed data'!I$5/1000000</f>
        <v>-4.6875305697710061E-3</v>
      </c>
      <c r="G69" s="35">
        <f>G90*'Fixed data'!J$5/1000000</f>
        <v>-6.6021315128681497E-3</v>
      </c>
      <c r="H69" s="35">
        <f>H90*'Fixed data'!K$5/1000000</f>
        <v>-9.5168917110387448E-3</v>
      </c>
      <c r="I69" s="35">
        <f>I90*'Fixed data'!L$5/1000000</f>
        <v>-9.7720722626395366E-3</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4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4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4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4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4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4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44"/>
      <c r="B76" s="13" t="s">
        <v>98</v>
      </c>
      <c r="C76" s="13"/>
      <c r="D76" s="13" t="s">
        <v>39</v>
      </c>
      <c r="E76" s="53">
        <f>SUM(E65:E75)</f>
        <v>-2.6251373347156415</v>
      </c>
      <c r="F76" s="53">
        <f t="shared" ref="F76:BD76" si="9">SUM(F65:F75)</f>
        <v>-0.57568188790147823</v>
      </c>
      <c r="G76" s="53">
        <f t="shared" si="9"/>
        <v>-0.9239595622451745</v>
      </c>
      <c r="H76" s="53">
        <f t="shared" si="9"/>
        <v>-0.87841834795408402</v>
      </c>
      <c r="I76" s="53">
        <f t="shared" si="9"/>
        <v>-0.66123809318231219</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-2.849888838180711</v>
      </c>
      <c r="F77" s="54">
        <f>IF('Fixed data'!$G$19=FALSE,F64+F76,F64)</f>
        <v>-0.84400437429011732</v>
      </c>
      <c r="G77" s="54">
        <f>IF('Fixed data'!$G$19=FALSE,G64+G76,G64)</f>
        <v>-1.2874942758599595</v>
      </c>
      <c r="H77" s="54">
        <f>IF('Fixed data'!$G$19=FALSE,H64+H76,H64)</f>
        <v>-1.2881756041768868</v>
      </c>
      <c r="I77" s="54">
        <f>IF('Fixed data'!$G$19=FALSE,I64+I76,I64)</f>
        <v>-1.1898041092224168</v>
      </c>
      <c r="J77" s="54">
        <f>IF('Fixed data'!$G$19=FALSE,J64+J76,J64)</f>
        <v>-0.19509768936869226</v>
      </c>
      <c r="K77" s="54">
        <f>IF('Fixed data'!$G$19=FALSE,K64+K76,K64)</f>
        <v>-0.19221873748296975</v>
      </c>
      <c r="L77" s="54">
        <f>IF('Fixed data'!$G$19=FALSE,L64+L76,L64)</f>
        <v>-0.18933978559724721</v>
      </c>
      <c r="M77" s="54">
        <f>IF('Fixed data'!$G$19=FALSE,M64+M76,M64)</f>
        <v>-0.18646083371152467</v>
      </c>
      <c r="N77" s="54">
        <f>IF('Fixed data'!$G$19=FALSE,N64+N76,N64)</f>
        <v>-0.18358188182580215</v>
      </c>
      <c r="O77" s="54">
        <f>IF('Fixed data'!$G$19=FALSE,O64+O76,O64)</f>
        <v>-0.18070292994007958</v>
      </c>
      <c r="P77" s="54">
        <f>IF('Fixed data'!$G$19=FALSE,P64+P76,P64)</f>
        <v>-0.17782397805435707</v>
      </c>
      <c r="Q77" s="54">
        <f>IF('Fixed data'!$G$19=FALSE,Q64+Q76,Q64)</f>
        <v>-0.17494502616863453</v>
      </c>
      <c r="R77" s="54">
        <f>IF('Fixed data'!$G$19=FALSE,R64+R76,R64)</f>
        <v>-0.17206607428291198</v>
      </c>
      <c r="S77" s="54">
        <f>IF('Fixed data'!$G$19=FALSE,S64+S76,S64)</f>
        <v>-0.16918712239718947</v>
      </c>
      <c r="T77" s="54">
        <f>IF('Fixed data'!$G$19=FALSE,T64+T76,T64)</f>
        <v>-0.1663081705114669</v>
      </c>
      <c r="U77" s="54">
        <f>IF('Fixed data'!$G$19=FALSE,U64+U76,U64)</f>
        <v>-0.16342921862574439</v>
      </c>
      <c r="V77" s="54">
        <f>IF('Fixed data'!$G$19=FALSE,V64+V76,V64)</f>
        <v>-0.16055026674002185</v>
      </c>
      <c r="W77" s="54">
        <f>IF('Fixed data'!$G$19=FALSE,W64+W76,W64)</f>
        <v>-0.1576713148542993</v>
      </c>
      <c r="X77" s="54">
        <f>IF('Fixed data'!$G$19=FALSE,X64+X76,X64)</f>
        <v>-0.15479236296857679</v>
      </c>
      <c r="Y77" s="54">
        <f>IF('Fixed data'!$G$19=FALSE,Y64+Y76,Y64)</f>
        <v>-0.15191341108285422</v>
      </c>
      <c r="Z77" s="54">
        <f>IF('Fixed data'!$G$19=FALSE,Z64+Z76,Z64)</f>
        <v>-0.14903445919713168</v>
      </c>
      <c r="AA77" s="54">
        <f>IF('Fixed data'!$G$19=FALSE,AA64+AA76,AA64)</f>
        <v>-0.14615550731140914</v>
      </c>
      <c r="AB77" s="54">
        <f>IF('Fixed data'!$G$19=FALSE,AB64+AB76,AB64)</f>
        <v>-0.1432765554256866</v>
      </c>
      <c r="AC77" s="54">
        <f>IF('Fixed data'!$G$19=FALSE,AC64+AC76,AC64)</f>
        <v>-0.14039760353996406</v>
      </c>
      <c r="AD77" s="54">
        <f>IF('Fixed data'!$G$19=FALSE,AD64+AD76,AD64)</f>
        <v>-0.13751865165424149</v>
      </c>
      <c r="AE77" s="54">
        <f>IF('Fixed data'!$G$19=FALSE,AE64+AE76,AE64)</f>
        <v>-0.13463969976851897</v>
      </c>
      <c r="AF77" s="54">
        <f>IF('Fixed data'!$G$19=FALSE,AF64+AF76,AF64)</f>
        <v>-0.1317607478827964</v>
      </c>
      <c r="AG77" s="54">
        <f>IF('Fixed data'!$G$19=FALSE,AG64+AG76,AG64)</f>
        <v>-0.12888179599707389</v>
      </c>
      <c r="AH77" s="54">
        <f>IF('Fixed data'!$G$19=FALSE,AH64+AH76,AH64)</f>
        <v>-0.12600284411135132</v>
      </c>
      <c r="AI77" s="54">
        <f>IF('Fixed data'!$G$19=FALSE,AI64+AI76,AI64)</f>
        <v>-0.12312389222562878</v>
      </c>
      <c r="AJ77" s="54">
        <f>IF('Fixed data'!$G$19=FALSE,AJ64+AJ76,AJ64)</f>
        <v>-0.12024494033990624</v>
      </c>
      <c r="AK77" s="54">
        <f>IF('Fixed data'!$G$19=FALSE,AK64+AK76,AK64)</f>
        <v>-0.1173659884541837</v>
      </c>
      <c r="AL77" s="54">
        <f>IF('Fixed data'!$G$19=FALSE,AL64+AL76,AL64)</f>
        <v>-0.11448703656846115</v>
      </c>
      <c r="AM77" s="54">
        <f>IF('Fixed data'!$G$19=FALSE,AM64+AM76,AM64)</f>
        <v>-0.11160808468273861</v>
      </c>
      <c r="AN77" s="54">
        <f>IF('Fixed data'!$G$19=FALSE,AN64+AN76,AN64)</f>
        <v>-0.10872913279701606</v>
      </c>
      <c r="AO77" s="54">
        <f>IF('Fixed data'!$G$19=FALSE,AO64+AO76,AO64)</f>
        <v>-0.10585018091129351</v>
      </c>
      <c r="AP77" s="54">
        <f>IF('Fixed data'!$G$19=FALSE,AP64+AP76,AP64)</f>
        <v>-0.10297122902557096</v>
      </c>
      <c r="AQ77" s="54">
        <f>IF('Fixed data'!$G$19=FALSE,AQ64+AQ76,AQ64)</f>
        <v>-0.10009227713984842</v>
      </c>
      <c r="AR77" s="54">
        <f>IF('Fixed data'!$G$19=FALSE,AR64+AR76,AR64)</f>
        <v>-9.7213325254125876E-2</v>
      </c>
      <c r="AS77" s="54">
        <f>IF('Fixed data'!$G$19=FALSE,AS64+AS76,AS64)</f>
        <v>-9.4334373368403335E-2</v>
      </c>
      <c r="AT77" s="54">
        <f>IF('Fixed data'!$G$19=FALSE,AT64+AT76,AT64)</f>
        <v>-9.1455421482680793E-2</v>
      </c>
      <c r="AU77" s="54">
        <f>IF('Fixed data'!$G$19=FALSE,AU64+AU76,AU64)</f>
        <v>-8.8576469596958252E-2</v>
      </c>
      <c r="AV77" s="54">
        <f>IF('Fixed data'!$G$19=FALSE,AV64+AV76,AV64)</f>
        <v>-8.569751771123571E-2</v>
      </c>
      <c r="AW77" s="54">
        <f>IF('Fixed data'!$G$19=FALSE,AW64+AW76,AW64)</f>
        <v>-8.2818565825513168E-2</v>
      </c>
      <c r="AX77" s="54">
        <f>IF('Fixed data'!$G$19=FALSE,AX64+AX76,AX64)</f>
        <v>-7.9939613939790613E-2</v>
      </c>
      <c r="AY77" s="54">
        <f>IF('Fixed data'!$G$19=FALSE,AY64+AY76,AY64)</f>
        <v>-6.6149159479613889E-2</v>
      </c>
      <c r="AZ77" s="54">
        <f>IF('Fixed data'!$G$19=FALSE,AZ64+AZ76,AZ64)</f>
        <v>-5.2191481510685638E-2</v>
      </c>
      <c r="BA77" s="54">
        <f>IF('Fixed data'!$G$19=FALSE,BA64+BA76,BA64)</f>
        <v>-3.5647187874919418E-2</v>
      </c>
      <c r="BB77" s="54">
        <f>IF('Fixed data'!$G$19=FALSE,BB64+BB76,BB64)</f>
        <v>-1.9417638499258247E-2</v>
      </c>
      <c r="BC77" s="54">
        <f>IF('Fixed data'!$G$19=FALSE,BC64+BC76,BC64)</f>
        <v>-6.4254157550180933E-17</v>
      </c>
      <c r="BD77" s="54">
        <f>IF('Fixed data'!$G$19=FALSE,BD64+BD76,BD64)</f>
        <v>-6.4254157550180933E-17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-2.7535157856818464</v>
      </c>
      <c r="F80" s="55">
        <f t="shared" ref="F80:BD80" si="10">F77*F78</f>
        <v>-0.78788711455587523</v>
      </c>
      <c r="G80" s="55">
        <f t="shared" si="10"/>
        <v>-1.1612460707012231</v>
      </c>
      <c r="H80" s="55">
        <f t="shared" si="10"/>
        <v>-1.1225706181708606</v>
      </c>
      <c r="I80" s="55">
        <f t="shared" si="10"/>
        <v>-1.0017831337832837</v>
      </c>
      <c r="J80" s="55">
        <f t="shared" si="10"/>
        <v>-0.15871209600438496</v>
      </c>
      <c r="K80" s="55">
        <f t="shared" si="10"/>
        <v>-0.15108219013567023</v>
      </c>
      <c r="L80" s="55">
        <f t="shared" si="10"/>
        <v>-0.14378682123405673</v>
      </c>
      <c r="M80" s="55">
        <f t="shared" si="10"/>
        <v>-0.13681208879444298</v>
      </c>
      <c r="N80" s="55">
        <f t="shared" si="10"/>
        <v>-0.13014464988255525</v>
      </c>
      <c r="O80" s="55">
        <f t="shared" si="10"/>
        <v>-0.1237716973207742</v>
      </c>
      <c r="P80" s="55">
        <f t="shared" si="10"/>
        <v>-0.11768093871170611</v>
      </c>
      <c r="Q80" s="55">
        <f t="shared" si="10"/>
        <v>-0.11186057626778451</v>
      </c>
      <c r="R80" s="55">
        <f t="shared" si="10"/>
        <v>-0.10629928741637637</v>
      </c>
      <c r="S80" s="55">
        <f t="shared" si="10"/>
        <v>-0.10098620615100902</v>
      </c>
      <c r="T80" s="55">
        <f t="shared" si="10"/>
        <v>-9.5910905100433846E-2</v>
      </c>
      <c r="U80" s="55">
        <f t="shared" si="10"/>
        <v>-9.1063378288304589E-2</v>
      </c>
      <c r="V80" s="55">
        <f t="shared" si="10"/>
        <v>-8.6434024557265399E-2</v>
      </c>
      <c r="W80" s="55">
        <f t="shared" si="10"/>
        <v>-8.2013631632229272E-2</v>
      </c>
      <c r="X80" s="55">
        <f t="shared" si="10"/>
        <v>-7.7793360798570979E-2</v>
      </c>
      <c r="Y80" s="55">
        <f t="shared" si="10"/>
        <v>-7.3764732171871114E-2</v>
      </c>
      <c r="Z80" s="55">
        <f t="shared" si="10"/>
        <v>-6.9919610536724061E-2</v>
      </c>
      <c r="AA80" s="55">
        <f t="shared" si="10"/>
        <v>-6.6250191732967104E-2</v>
      </c>
      <c r="AB80" s="55">
        <f t="shared" si="10"/>
        <v>-6.2748989568501348E-2</v>
      </c>
      <c r="AC80" s="55">
        <f t="shared" si="10"/>
        <v>-5.9408823238657316E-2</v>
      </c>
      <c r="AD80" s="55">
        <f t="shared" si="10"/>
        <v>-5.6222805232812229E-2</v>
      </c>
      <c r="AE80" s="55">
        <f t="shared" si="10"/>
        <v>-5.3184329709691253E-2</v>
      </c>
      <c r="AF80" s="55">
        <f t="shared" si="10"/>
        <v>-5.0287061323483533E-2</v>
      </c>
      <c r="AG80" s="55">
        <f t="shared" si="10"/>
        <v>-4.7524924483576932E-2</v>
      </c>
      <c r="AH80" s="55">
        <f t="shared" si="10"/>
        <v>-4.4892093031361921E-2</v>
      </c>
      <c r="AI80" s="55">
        <f t="shared" si="10"/>
        <v>-4.9247974152449081E-2</v>
      </c>
      <c r="AJ80" s="55">
        <f t="shared" si="10"/>
        <v>-4.6695563501575568E-2</v>
      </c>
      <c r="AK80" s="55">
        <f t="shared" si="10"/>
        <v>-4.4250058121214617E-2</v>
      </c>
      <c r="AL80" s="55">
        <f t="shared" si="10"/>
        <v>-4.1907395822534214E-2</v>
      </c>
      <c r="AM80" s="55">
        <f t="shared" si="10"/>
        <v>-3.9663660357437881E-2</v>
      </c>
      <c r="AN80" s="55">
        <f t="shared" si="10"/>
        <v>-3.7515076363264982E-2</v>
      </c>
      <c r="AO80" s="55">
        <f t="shared" si="10"/>
        <v>-3.545800447816759E-2</v>
      </c>
      <c r="AP80" s="55">
        <f t="shared" si="10"/>
        <v>-3.3488936621510271E-2</v>
      </c>
      <c r="AQ80" s="55">
        <f t="shared" si="10"/>
        <v>-3.1604491433823698E-2</v>
      </c>
      <c r="AR80" s="55">
        <f t="shared" si="10"/>
        <v>-2.9801409871021364E-2</v>
      </c>
      <c r="AS80" s="55">
        <f t="shared" si="10"/>
        <v>-2.8076550947761618E-2</v>
      </c>
      <c r="AT80" s="55">
        <f t="shared" si="10"/>
        <v>-2.6426887625004777E-2</v>
      </c>
      <c r="AU80" s="55">
        <f t="shared" si="10"/>
        <v>-2.4849502836976366E-2</v>
      </c>
      <c r="AV80" s="55">
        <f t="shared" si="10"/>
        <v>-2.3341585652904645E-2</v>
      </c>
      <c r="AW80" s="55">
        <f t="shared" si="10"/>
        <v>-2.1900427569051934E-2</v>
      </c>
      <c r="AX80" s="55">
        <f t="shared" si="10"/>
        <v>-2.0523418926705946E-2</v>
      </c>
      <c r="AY80" s="55">
        <f t="shared" si="10"/>
        <v>-1.6488257796182852E-2</v>
      </c>
      <c r="AZ80" s="55">
        <f t="shared" si="10"/>
        <v>-1.2630275945335216E-2</v>
      </c>
      <c r="BA80" s="55">
        <f t="shared" si="10"/>
        <v>-8.3753172067305322E-3</v>
      </c>
      <c r="BB80" s="55">
        <f t="shared" si="10"/>
        <v>-4.4293008144788999E-3</v>
      </c>
      <c r="BC80" s="55">
        <f t="shared" si="10"/>
        <v>-1.4229930333128684E-17</v>
      </c>
      <c r="BD80" s="55">
        <f t="shared" si="10"/>
        <v>-1.3815466342843383E-17</v>
      </c>
    </row>
    <row r="81" spans="1:56" x14ac:dyDescent="0.3">
      <c r="A81" s="75"/>
      <c r="B81" s="15" t="s">
        <v>18</v>
      </c>
      <c r="C81" s="15"/>
      <c r="D81" s="14" t="s">
        <v>39</v>
      </c>
      <c r="E81" s="56">
        <f>+E80</f>
        <v>-2.7535157856818464</v>
      </c>
      <c r="F81" s="56">
        <f t="shared" ref="F81:BD81" si="11">+E81+F80</f>
        <v>-3.5414029002377214</v>
      </c>
      <c r="G81" s="56">
        <f t="shared" si="11"/>
        <v>-4.7026489709389443</v>
      </c>
      <c r="H81" s="56">
        <f t="shared" si="11"/>
        <v>-5.8252195891098051</v>
      </c>
      <c r="I81" s="56">
        <f t="shared" si="11"/>
        <v>-6.8270027228930887</v>
      </c>
      <c r="J81" s="56">
        <f t="shared" si="11"/>
        <v>-6.985714818897474</v>
      </c>
      <c r="K81" s="56">
        <f t="shared" si="11"/>
        <v>-7.1367970090331445</v>
      </c>
      <c r="L81" s="56">
        <f t="shared" si="11"/>
        <v>-7.2805838302672008</v>
      </c>
      <c r="M81" s="56">
        <f t="shared" si="11"/>
        <v>-7.4173959190616436</v>
      </c>
      <c r="N81" s="56">
        <f t="shared" si="11"/>
        <v>-7.547540568944199</v>
      </c>
      <c r="O81" s="56">
        <f t="shared" si="11"/>
        <v>-7.6713122662649731</v>
      </c>
      <c r="P81" s="56">
        <f t="shared" si="11"/>
        <v>-7.7889932049766788</v>
      </c>
      <c r="Q81" s="56">
        <f t="shared" si="11"/>
        <v>-7.9008537812444635</v>
      </c>
      <c r="R81" s="56">
        <f t="shared" si="11"/>
        <v>-8.0071530686608394</v>
      </c>
      <c r="S81" s="56">
        <f t="shared" si="11"/>
        <v>-8.1081392748118493</v>
      </c>
      <c r="T81" s="56">
        <f t="shared" si="11"/>
        <v>-8.2040501799122829</v>
      </c>
      <c r="U81" s="56">
        <f t="shared" si="11"/>
        <v>-8.2951135582005868</v>
      </c>
      <c r="V81" s="56">
        <f t="shared" si="11"/>
        <v>-8.3815475827578521</v>
      </c>
      <c r="W81" s="56">
        <f t="shared" si="11"/>
        <v>-8.4635612143900811</v>
      </c>
      <c r="X81" s="56">
        <f t="shared" si="11"/>
        <v>-8.5413545751886524</v>
      </c>
      <c r="Y81" s="56">
        <f t="shared" si="11"/>
        <v>-8.6151193073605228</v>
      </c>
      <c r="Z81" s="56">
        <f t="shared" si="11"/>
        <v>-8.6850389178972467</v>
      </c>
      <c r="AA81" s="56">
        <f t="shared" si="11"/>
        <v>-8.7512891096302141</v>
      </c>
      <c r="AB81" s="56">
        <f t="shared" si="11"/>
        <v>-8.8140380991987151</v>
      </c>
      <c r="AC81" s="56">
        <f t="shared" si="11"/>
        <v>-8.8734469224373722</v>
      </c>
      <c r="AD81" s="56">
        <f t="shared" si="11"/>
        <v>-8.9296697276701842</v>
      </c>
      <c r="AE81" s="56">
        <f t="shared" si="11"/>
        <v>-8.9828540573798747</v>
      </c>
      <c r="AF81" s="56">
        <f t="shared" si="11"/>
        <v>-9.0331411187033588</v>
      </c>
      <c r="AG81" s="56">
        <f t="shared" si="11"/>
        <v>-9.0806660431869357</v>
      </c>
      <c r="AH81" s="56">
        <f t="shared" si="11"/>
        <v>-9.1255581362182969</v>
      </c>
      <c r="AI81" s="56">
        <f t="shared" si="11"/>
        <v>-9.1748061103707457</v>
      </c>
      <c r="AJ81" s="56">
        <f t="shared" si="11"/>
        <v>-9.2215016738723214</v>
      </c>
      <c r="AK81" s="56">
        <f t="shared" si="11"/>
        <v>-9.2657517319935359</v>
      </c>
      <c r="AL81" s="56">
        <f t="shared" si="11"/>
        <v>-9.3076591278160699</v>
      </c>
      <c r="AM81" s="56">
        <f t="shared" si="11"/>
        <v>-9.347322788173507</v>
      </c>
      <c r="AN81" s="56">
        <f t="shared" si="11"/>
        <v>-9.384837864536772</v>
      </c>
      <c r="AO81" s="56">
        <f t="shared" si="11"/>
        <v>-9.4202958690149394</v>
      </c>
      <c r="AP81" s="56">
        <f t="shared" si="11"/>
        <v>-9.4537848056364489</v>
      </c>
      <c r="AQ81" s="56">
        <f t="shared" si="11"/>
        <v>-9.485389297070272</v>
      </c>
      <c r="AR81" s="56">
        <f t="shared" si="11"/>
        <v>-9.5151907069412935</v>
      </c>
      <c r="AS81" s="56">
        <f t="shared" si="11"/>
        <v>-9.5432672578890543</v>
      </c>
      <c r="AT81" s="56">
        <f t="shared" si="11"/>
        <v>-9.5696941455140596</v>
      </c>
      <c r="AU81" s="56">
        <f t="shared" si="11"/>
        <v>-9.5945436483510367</v>
      </c>
      <c r="AV81" s="56">
        <f t="shared" si="11"/>
        <v>-9.6178852340039409</v>
      </c>
      <c r="AW81" s="56">
        <f t="shared" si="11"/>
        <v>-9.6397856615729935</v>
      </c>
      <c r="AX81" s="56">
        <f t="shared" si="11"/>
        <v>-9.6603090804996992</v>
      </c>
      <c r="AY81" s="56">
        <f t="shared" si="11"/>
        <v>-9.6767973382958825</v>
      </c>
      <c r="AZ81" s="56">
        <f t="shared" si="11"/>
        <v>-9.6894276142412181</v>
      </c>
      <c r="BA81" s="56">
        <f t="shared" si="11"/>
        <v>-9.6978029314479492</v>
      </c>
      <c r="BB81" s="56">
        <f t="shared" si="11"/>
        <v>-9.7022322322624284</v>
      </c>
      <c r="BC81" s="56">
        <f t="shared" si="11"/>
        <v>-9.7022322322624284</v>
      </c>
      <c r="BD81" s="56">
        <f t="shared" si="11"/>
        <v>-9.7022322322624284</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4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4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45"/>
      <c r="B88" s="4" t="s">
        <v>211</v>
      </c>
      <c r="D88" s="4" t="s">
        <v>206</v>
      </c>
      <c r="E88" s="44">
        <f>-'Workings baseline 2015.16'!E61</f>
        <v>-36182.122727272726</v>
      </c>
      <c r="F88" s="44">
        <f>-'Workings baseline 2016.17'!F82</f>
        <v>-5199.636363636364</v>
      </c>
      <c r="G88" s="44">
        <f>-'Workings baseline 2017.18'!F84</f>
        <v>-6368.2727272727279</v>
      </c>
      <c r="H88" s="44">
        <f>-'Working baseline 2018.19'!F87</f>
        <v>-4195.8363636363638</v>
      </c>
      <c r="I88" s="44">
        <f>-'Working baseline 2019.20'!F87</f>
        <v>-6089.7181818181816</v>
      </c>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45"/>
      <c r="B89" s="4" t="s">
        <v>212</v>
      </c>
      <c r="D89" s="4" t="s">
        <v>86</v>
      </c>
      <c r="E89" s="44">
        <f>-'Workings baseline 2015.16'!E62</f>
        <v>-5472653.4545454551</v>
      </c>
      <c r="F89" s="44">
        <f>-'Workings baseline 2016.17'!F83</f>
        <v>-1302710.7272727273</v>
      </c>
      <c r="G89" s="44">
        <f>-'Workings baseline 2017.18'!F85</f>
        <v>-2174333.4545454551</v>
      </c>
      <c r="H89" s="44">
        <f>-'Working baseline 2018.19'!F88</f>
        <v>-2134760.7272727271</v>
      </c>
      <c r="I89" s="44">
        <f>-'Working baseline 2019.20'!F88</f>
        <v>-1479856.3636363638</v>
      </c>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45"/>
      <c r="B90" s="4" t="s">
        <v>325</v>
      </c>
      <c r="D90" s="4" t="s">
        <v>87</v>
      </c>
      <c r="E90" s="38">
        <f>-'Workings baseline 2015.16'!E63</f>
        <v>-680.08190064431994</v>
      </c>
      <c r="F90" s="38">
        <f>-'Workings baseline 2016.17'!F84</f>
        <v>-611.10584220740577</v>
      </c>
      <c r="G90" s="38">
        <f>-'Workings baseline 2017.18'!F86</f>
        <v>-809.408742304768</v>
      </c>
      <c r="H90" s="38">
        <f>-'Working baseline 2018.19'!F89</f>
        <v>-1097.0091594843134</v>
      </c>
      <c r="I90" s="38">
        <f>-'Working baseline 2019.20'!F89</f>
        <v>-1057.9160997940526</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4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4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4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700-000000000000}">
      <formula1>$B$170:$B$216</formula1>
    </dataValidation>
    <dataValidation type="list" allowBlank="1" showInputMessage="1" showErrorMessage="1" sqref="B13" xr:uid="{00000000-0002-0000-0700-000001000000}">
      <formula1>$B$170:$B$214</formula1>
    </dataValidation>
  </dataValidations>
  <hyperlinks>
    <hyperlink ref="B97" r:id="rId1" xr:uid="{00000000-0004-0000-0700-000000000000}"/>
    <hyperlink ref="B100" r:id="rId2" xr:uid="{00000000-0004-0000-07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E214"/>
  <sheetViews>
    <sheetView view="pageBreakPreview" zoomScale="85" zoomScaleNormal="80" zoomScaleSheetLayoutView="85" workbookViewId="0">
      <pane xSplit="2" ySplit="12" topLeftCell="C72" activePane="bottomRight" state="frozen"/>
      <selection activeCell="B5" sqref="B5:F5"/>
      <selection pane="topRight" activeCell="B5" sqref="B5:F5"/>
      <selection pane="bottomLeft" activeCell="B5" sqref="B5:F5"/>
      <selection pane="bottomRight" activeCell="J93" sqref="J9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340</v>
      </c>
      <c r="C1" s="3" t="s">
        <v>339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-1.5939575486526105</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-1.914162864579541</v>
      </c>
      <c r="D5" s="18"/>
      <c r="E5" s="63"/>
      <c r="F5" s="9"/>
      <c r="G5" s="9"/>
      <c r="T5" s="55"/>
      <c r="AQ5" s="22"/>
      <c r="AR5" s="22"/>
      <c r="AS5" s="22"/>
      <c r="AT5" s="22"/>
      <c r="AU5" s="22"/>
      <c r="AV5" s="22"/>
      <c r="AW5" s="22"/>
      <c r="AX5" s="22"/>
      <c r="AY5" s="22"/>
      <c r="AZ5" s="22"/>
      <c r="BA5" s="22"/>
      <c r="BB5" s="22"/>
      <c r="BC5" s="22"/>
      <c r="BD5" s="22"/>
    </row>
    <row r="6" spans="1:56" x14ac:dyDescent="0.3">
      <c r="B6" s="48">
        <v>32</v>
      </c>
      <c r="C6" s="45">
        <f>INDEX($E$81:$BD$81,1,$C$9+$B6-1)</f>
        <v>-2.1279024062824305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-2.3470188517298043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637" t="s">
        <v>11</v>
      </c>
      <c r="B13" s="61" t="s">
        <v>174</v>
      </c>
      <c r="C13" s="60"/>
      <c r="D13" s="61" t="s">
        <v>39</v>
      </c>
      <c r="E13" s="62">
        <f>-'Workings template 2015.16'!D50</f>
        <v>-0.256409</v>
      </c>
      <c r="F13" s="62">
        <f>-'Workings template 2016.17'!E80</f>
        <v>-0.77856499999999995</v>
      </c>
      <c r="G13" s="62">
        <f>-'Workings template 2017.18'!E82</f>
        <v>-0.46845709999999996</v>
      </c>
      <c r="H13" s="62">
        <f>-'Working template 2018.19'!E87</f>
        <v>-0.44754910999999997</v>
      </c>
      <c r="I13" s="62">
        <f>-'Working template 2019.20'!E87</f>
        <v>-0.48756611</v>
      </c>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38"/>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638"/>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638"/>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38"/>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39"/>
      <c r="B18" s="123" t="s">
        <v>194</v>
      </c>
      <c r="C18" s="128"/>
      <c r="D18" s="124" t="s">
        <v>39</v>
      </c>
      <c r="E18" s="59">
        <f>SUM(E13:E17)</f>
        <v>-0.256409</v>
      </c>
      <c r="F18" s="59">
        <f t="shared" ref="F18:AW18" si="0">SUM(F13:F17)</f>
        <v>-0.77856499999999995</v>
      </c>
      <c r="G18" s="59">
        <f t="shared" si="0"/>
        <v>-0.46845709999999996</v>
      </c>
      <c r="H18" s="59">
        <f t="shared" si="0"/>
        <v>-0.44754910999999997</v>
      </c>
      <c r="I18" s="59">
        <f t="shared" si="0"/>
        <v>-0.48756611</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40" t="s">
        <v>298</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40"/>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40"/>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40"/>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40"/>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40"/>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41"/>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-0.256409</v>
      </c>
      <c r="F26" s="59">
        <f t="shared" ref="F26:BD26" si="2">F18+F25</f>
        <v>-0.77856499999999995</v>
      </c>
      <c r="G26" s="59">
        <f t="shared" si="2"/>
        <v>-0.46845709999999996</v>
      </c>
      <c r="H26" s="59">
        <f t="shared" si="2"/>
        <v>-0.44754910999999997</v>
      </c>
      <c r="I26" s="59">
        <f t="shared" si="2"/>
        <v>-0.48756611</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-0.17948629999999999</v>
      </c>
      <c r="F28" s="35">
        <f t="shared" ref="F28:AW28" si="3">F26*F27</f>
        <v>-0.54499549999999997</v>
      </c>
      <c r="G28" s="35">
        <f t="shared" si="3"/>
        <v>-0.32791996999999995</v>
      </c>
      <c r="H28" s="35">
        <f t="shared" si="3"/>
        <v>-0.31328437699999995</v>
      </c>
      <c r="I28" s="35">
        <f t="shared" si="3"/>
        <v>-0.34129627699999998</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-7.6922700000000011E-2</v>
      </c>
      <c r="F29" s="35">
        <f t="shared" ref="F29:AW29" si="4">F26-F28</f>
        <v>-0.23356949999999999</v>
      </c>
      <c r="G29" s="35">
        <f t="shared" si="4"/>
        <v>-0.14053713000000001</v>
      </c>
      <c r="H29" s="35">
        <f t="shared" si="4"/>
        <v>-0.13426473300000002</v>
      </c>
      <c r="I29" s="35">
        <f t="shared" si="4"/>
        <v>-0.14626983300000002</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-3.9885844444444438E-3</v>
      </c>
      <c r="G30" s="35">
        <f>$E$28/'Fixed data'!$C$7</f>
        <v>-3.9885844444444438E-3</v>
      </c>
      <c r="H30" s="35">
        <f>$E$28/'Fixed data'!$C$7</f>
        <v>-3.9885844444444438E-3</v>
      </c>
      <c r="I30" s="35">
        <f>$E$28/'Fixed data'!$C$7</f>
        <v>-3.9885844444444438E-3</v>
      </c>
      <c r="J30" s="35">
        <f>$E$28/'Fixed data'!$C$7</f>
        <v>-3.9885844444444438E-3</v>
      </c>
      <c r="K30" s="35">
        <f>$E$28/'Fixed data'!$C$7</f>
        <v>-3.9885844444444438E-3</v>
      </c>
      <c r="L30" s="35">
        <f>$E$28/'Fixed data'!$C$7</f>
        <v>-3.9885844444444438E-3</v>
      </c>
      <c r="M30" s="35">
        <f>$E$28/'Fixed data'!$C$7</f>
        <v>-3.9885844444444438E-3</v>
      </c>
      <c r="N30" s="35">
        <f>$E$28/'Fixed data'!$C$7</f>
        <v>-3.9885844444444438E-3</v>
      </c>
      <c r="O30" s="35">
        <f>$E$28/'Fixed data'!$C$7</f>
        <v>-3.9885844444444438E-3</v>
      </c>
      <c r="P30" s="35">
        <f>$E$28/'Fixed data'!$C$7</f>
        <v>-3.9885844444444438E-3</v>
      </c>
      <c r="Q30" s="35">
        <f>$E$28/'Fixed data'!$C$7</f>
        <v>-3.9885844444444438E-3</v>
      </c>
      <c r="R30" s="35">
        <f>$E$28/'Fixed data'!$C$7</f>
        <v>-3.9885844444444438E-3</v>
      </c>
      <c r="S30" s="35">
        <f>$E$28/'Fixed data'!$C$7</f>
        <v>-3.9885844444444438E-3</v>
      </c>
      <c r="T30" s="35">
        <f>$E$28/'Fixed data'!$C$7</f>
        <v>-3.9885844444444438E-3</v>
      </c>
      <c r="U30" s="35">
        <f>$E$28/'Fixed data'!$C$7</f>
        <v>-3.9885844444444438E-3</v>
      </c>
      <c r="V30" s="35">
        <f>$E$28/'Fixed data'!$C$7</f>
        <v>-3.9885844444444438E-3</v>
      </c>
      <c r="W30" s="35">
        <f>$E$28/'Fixed data'!$C$7</f>
        <v>-3.9885844444444438E-3</v>
      </c>
      <c r="X30" s="35">
        <f>$E$28/'Fixed data'!$C$7</f>
        <v>-3.9885844444444438E-3</v>
      </c>
      <c r="Y30" s="35">
        <f>$E$28/'Fixed data'!$C$7</f>
        <v>-3.9885844444444438E-3</v>
      </c>
      <c r="Z30" s="35">
        <f>$E$28/'Fixed data'!$C$7</f>
        <v>-3.9885844444444438E-3</v>
      </c>
      <c r="AA30" s="35">
        <f>$E$28/'Fixed data'!$C$7</f>
        <v>-3.9885844444444438E-3</v>
      </c>
      <c r="AB30" s="35">
        <f>$E$28/'Fixed data'!$C$7</f>
        <v>-3.9885844444444438E-3</v>
      </c>
      <c r="AC30" s="35">
        <f>$E$28/'Fixed data'!$C$7</f>
        <v>-3.9885844444444438E-3</v>
      </c>
      <c r="AD30" s="35">
        <f>$E$28/'Fixed data'!$C$7</f>
        <v>-3.9885844444444438E-3</v>
      </c>
      <c r="AE30" s="35">
        <f>$E$28/'Fixed data'!$C$7</f>
        <v>-3.9885844444444438E-3</v>
      </c>
      <c r="AF30" s="35">
        <f>$E$28/'Fixed data'!$C$7</f>
        <v>-3.9885844444444438E-3</v>
      </c>
      <c r="AG30" s="35">
        <f>$E$28/'Fixed data'!$C$7</f>
        <v>-3.9885844444444438E-3</v>
      </c>
      <c r="AH30" s="35">
        <f>$E$28/'Fixed data'!$C$7</f>
        <v>-3.9885844444444438E-3</v>
      </c>
      <c r="AI30" s="35">
        <f>$E$28/'Fixed data'!$C$7</f>
        <v>-3.9885844444444438E-3</v>
      </c>
      <c r="AJ30" s="35">
        <f>$E$28/'Fixed data'!$C$7</f>
        <v>-3.9885844444444438E-3</v>
      </c>
      <c r="AK30" s="35">
        <f>$E$28/'Fixed data'!$C$7</f>
        <v>-3.9885844444444438E-3</v>
      </c>
      <c r="AL30" s="35">
        <f>$E$28/'Fixed data'!$C$7</f>
        <v>-3.9885844444444438E-3</v>
      </c>
      <c r="AM30" s="35">
        <f>$E$28/'Fixed data'!$C$7</f>
        <v>-3.9885844444444438E-3</v>
      </c>
      <c r="AN30" s="35">
        <f>$E$28/'Fixed data'!$C$7</f>
        <v>-3.9885844444444438E-3</v>
      </c>
      <c r="AO30" s="35">
        <f>$E$28/'Fixed data'!$C$7</f>
        <v>-3.9885844444444438E-3</v>
      </c>
      <c r="AP30" s="35">
        <f>$E$28/'Fixed data'!$C$7</f>
        <v>-3.9885844444444438E-3</v>
      </c>
      <c r="AQ30" s="35">
        <f>$E$28/'Fixed data'!$C$7</f>
        <v>-3.9885844444444438E-3</v>
      </c>
      <c r="AR30" s="35">
        <f>$E$28/'Fixed data'!$C$7</f>
        <v>-3.9885844444444438E-3</v>
      </c>
      <c r="AS30" s="35">
        <f>$E$28/'Fixed data'!$C$7</f>
        <v>-3.9885844444444438E-3</v>
      </c>
      <c r="AT30" s="35">
        <f>$E$28/'Fixed data'!$C$7</f>
        <v>-3.9885844444444438E-3</v>
      </c>
      <c r="AU30" s="35">
        <f>$E$28/'Fixed data'!$C$7</f>
        <v>-3.9885844444444438E-3</v>
      </c>
      <c r="AV30" s="35">
        <f>$E$28/'Fixed data'!$C$7</f>
        <v>-3.9885844444444438E-3</v>
      </c>
      <c r="AW30" s="35">
        <f>$E$28/'Fixed data'!$C$7</f>
        <v>-3.9885844444444438E-3</v>
      </c>
      <c r="AX30" s="35">
        <f>$E$28/'Fixed data'!$C$7</f>
        <v>-3.9885844444444438E-3</v>
      </c>
      <c r="AY30" s="35"/>
      <c r="AZ30" s="35"/>
      <c r="BA30" s="35"/>
      <c r="BB30" s="35"/>
      <c r="BC30" s="35"/>
      <c r="BD30" s="35"/>
    </row>
    <row r="31" spans="1:56" ht="16.5" hidden="1" customHeight="1" outlineLevel="1" x14ac:dyDescent="0.35">
      <c r="A31" s="114"/>
      <c r="B31" s="9" t="s">
        <v>2</v>
      </c>
      <c r="C31" s="11" t="s">
        <v>52</v>
      </c>
      <c r="D31" s="9" t="s">
        <v>39</v>
      </c>
      <c r="F31" s="35"/>
      <c r="G31" s="35">
        <f>$F$28/'Fixed data'!$C$7</f>
        <v>-1.211101111111111E-2</v>
      </c>
      <c r="H31" s="35">
        <f>$F$28/'Fixed data'!$C$7</f>
        <v>-1.211101111111111E-2</v>
      </c>
      <c r="I31" s="35">
        <f>$F$28/'Fixed data'!$C$7</f>
        <v>-1.211101111111111E-2</v>
      </c>
      <c r="J31" s="35">
        <f>$F$28/'Fixed data'!$C$7</f>
        <v>-1.211101111111111E-2</v>
      </c>
      <c r="K31" s="35">
        <f>$F$28/'Fixed data'!$C$7</f>
        <v>-1.211101111111111E-2</v>
      </c>
      <c r="L31" s="35">
        <f>$F$28/'Fixed data'!$C$7</f>
        <v>-1.211101111111111E-2</v>
      </c>
      <c r="M31" s="35">
        <f>$F$28/'Fixed data'!$C$7</f>
        <v>-1.211101111111111E-2</v>
      </c>
      <c r="N31" s="35">
        <f>$F$28/'Fixed data'!$C$7</f>
        <v>-1.211101111111111E-2</v>
      </c>
      <c r="O31" s="35">
        <f>$F$28/'Fixed data'!$C$7</f>
        <v>-1.211101111111111E-2</v>
      </c>
      <c r="P31" s="35">
        <f>$F$28/'Fixed data'!$C$7</f>
        <v>-1.211101111111111E-2</v>
      </c>
      <c r="Q31" s="35">
        <f>$F$28/'Fixed data'!$C$7</f>
        <v>-1.211101111111111E-2</v>
      </c>
      <c r="R31" s="35">
        <f>$F$28/'Fixed data'!$C$7</f>
        <v>-1.211101111111111E-2</v>
      </c>
      <c r="S31" s="35">
        <f>$F$28/'Fixed data'!$C$7</f>
        <v>-1.211101111111111E-2</v>
      </c>
      <c r="T31" s="35">
        <f>$F$28/'Fixed data'!$C$7</f>
        <v>-1.211101111111111E-2</v>
      </c>
      <c r="U31" s="35">
        <f>$F$28/'Fixed data'!$C$7</f>
        <v>-1.211101111111111E-2</v>
      </c>
      <c r="V31" s="35">
        <f>$F$28/'Fixed data'!$C$7</f>
        <v>-1.211101111111111E-2</v>
      </c>
      <c r="W31" s="35">
        <f>$F$28/'Fixed data'!$C$7</f>
        <v>-1.211101111111111E-2</v>
      </c>
      <c r="X31" s="35">
        <f>$F$28/'Fixed data'!$C$7</f>
        <v>-1.211101111111111E-2</v>
      </c>
      <c r="Y31" s="35">
        <f>$F$28/'Fixed data'!$C$7</f>
        <v>-1.211101111111111E-2</v>
      </c>
      <c r="Z31" s="35">
        <f>$F$28/'Fixed data'!$C$7</f>
        <v>-1.211101111111111E-2</v>
      </c>
      <c r="AA31" s="35">
        <f>$F$28/'Fixed data'!$C$7</f>
        <v>-1.211101111111111E-2</v>
      </c>
      <c r="AB31" s="35">
        <f>$F$28/'Fixed data'!$C$7</f>
        <v>-1.211101111111111E-2</v>
      </c>
      <c r="AC31" s="35">
        <f>$F$28/'Fixed data'!$C$7</f>
        <v>-1.211101111111111E-2</v>
      </c>
      <c r="AD31" s="35">
        <f>$F$28/'Fixed data'!$C$7</f>
        <v>-1.211101111111111E-2</v>
      </c>
      <c r="AE31" s="35">
        <f>$F$28/'Fixed data'!$C$7</f>
        <v>-1.211101111111111E-2</v>
      </c>
      <c r="AF31" s="35">
        <f>$F$28/'Fixed data'!$C$7</f>
        <v>-1.211101111111111E-2</v>
      </c>
      <c r="AG31" s="35">
        <f>$F$28/'Fixed data'!$C$7</f>
        <v>-1.211101111111111E-2</v>
      </c>
      <c r="AH31" s="35">
        <f>$F$28/'Fixed data'!$C$7</f>
        <v>-1.211101111111111E-2</v>
      </c>
      <c r="AI31" s="35">
        <f>$F$28/'Fixed data'!$C$7</f>
        <v>-1.211101111111111E-2</v>
      </c>
      <c r="AJ31" s="35">
        <f>$F$28/'Fixed data'!$C$7</f>
        <v>-1.211101111111111E-2</v>
      </c>
      <c r="AK31" s="35">
        <f>$F$28/'Fixed data'!$C$7</f>
        <v>-1.211101111111111E-2</v>
      </c>
      <c r="AL31" s="35">
        <f>$F$28/'Fixed data'!$C$7</f>
        <v>-1.211101111111111E-2</v>
      </c>
      <c r="AM31" s="35">
        <f>$F$28/'Fixed data'!$C$7</f>
        <v>-1.211101111111111E-2</v>
      </c>
      <c r="AN31" s="35">
        <f>$F$28/'Fixed data'!$C$7</f>
        <v>-1.211101111111111E-2</v>
      </c>
      <c r="AO31" s="35">
        <f>$F$28/'Fixed data'!$C$7</f>
        <v>-1.211101111111111E-2</v>
      </c>
      <c r="AP31" s="35">
        <f>$F$28/'Fixed data'!$C$7</f>
        <v>-1.211101111111111E-2</v>
      </c>
      <c r="AQ31" s="35">
        <f>$F$28/'Fixed data'!$C$7</f>
        <v>-1.211101111111111E-2</v>
      </c>
      <c r="AR31" s="35">
        <f>$F$28/'Fixed data'!$C$7</f>
        <v>-1.211101111111111E-2</v>
      </c>
      <c r="AS31" s="35">
        <f>$F$28/'Fixed data'!$C$7</f>
        <v>-1.211101111111111E-2</v>
      </c>
      <c r="AT31" s="35">
        <f>$F$28/'Fixed data'!$C$7</f>
        <v>-1.211101111111111E-2</v>
      </c>
      <c r="AU31" s="35">
        <f>$F$28/'Fixed data'!$C$7</f>
        <v>-1.211101111111111E-2</v>
      </c>
      <c r="AV31" s="35">
        <f>$F$28/'Fixed data'!$C$7</f>
        <v>-1.211101111111111E-2</v>
      </c>
      <c r="AW31" s="35">
        <f>$F$28/'Fixed data'!$C$7</f>
        <v>-1.211101111111111E-2</v>
      </c>
      <c r="AX31" s="35">
        <f>$F$28/'Fixed data'!$C$7</f>
        <v>-1.211101111111111E-2</v>
      </c>
      <c r="AY31" s="35">
        <f>$F$28/'Fixed data'!$C$7</f>
        <v>-1.211101111111111E-2</v>
      </c>
      <c r="AZ31" s="35"/>
      <c r="BA31" s="35"/>
      <c r="BB31" s="35"/>
      <c r="BC31" s="35"/>
      <c r="BD31" s="35"/>
    </row>
    <row r="32" spans="1:56" ht="16.5" hidden="1" customHeight="1" outlineLevel="1" x14ac:dyDescent="0.35">
      <c r="A32" s="114"/>
      <c r="B32" s="9" t="s">
        <v>3</v>
      </c>
      <c r="C32" s="11" t="s">
        <v>53</v>
      </c>
      <c r="D32" s="9" t="s">
        <v>39</v>
      </c>
      <c r="F32" s="35"/>
      <c r="G32" s="35"/>
      <c r="H32" s="35">
        <f>$G$28/'Fixed data'!$C$7</f>
        <v>-7.2871104444444433E-3</v>
      </c>
      <c r="I32" s="35">
        <f>$G$28/'Fixed data'!$C$7</f>
        <v>-7.2871104444444433E-3</v>
      </c>
      <c r="J32" s="35">
        <f>$G$28/'Fixed data'!$C$7</f>
        <v>-7.2871104444444433E-3</v>
      </c>
      <c r="K32" s="35">
        <f>$G$28/'Fixed data'!$C$7</f>
        <v>-7.2871104444444433E-3</v>
      </c>
      <c r="L32" s="35">
        <f>$G$28/'Fixed data'!$C$7</f>
        <v>-7.2871104444444433E-3</v>
      </c>
      <c r="M32" s="35">
        <f>$G$28/'Fixed data'!$C$7</f>
        <v>-7.2871104444444433E-3</v>
      </c>
      <c r="N32" s="35">
        <f>$G$28/'Fixed data'!$C$7</f>
        <v>-7.2871104444444433E-3</v>
      </c>
      <c r="O32" s="35">
        <f>$G$28/'Fixed data'!$C$7</f>
        <v>-7.2871104444444433E-3</v>
      </c>
      <c r="P32" s="35">
        <f>$G$28/'Fixed data'!$C$7</f>
        <v>-7.2871104444444433E-3</v>
      </c>
      <c r="Q32" s="35">
        <f>$G$28/'Fixed data'!$C$7</f>
        <v>-7.2871104444444433E-3</v>
      </c>
      <c r="R32" s="35">
        <f>$G$28/'Fixed data'!$C$7</f>
        <v>-7.2871104444444433E-3</v>
      </c>
      <c r="S32" s="35">
        <f>$G$28/'Fixed data'!$C$7</f>
        <v>-7.2871104444444433E-3</v>
      </c>
      <c r="T32" s="35">
        <f>$G$28/'Fixed data'!$C$7</f>
        <v>-7.2871104444444433E-3</v>
      </c>
      <c r="U32" s="35">
        <f>$G$28/'Fixed data'!$C$7</f>
        <v>-7.2871104444444433E-3</v>
      </c>
      <c r="V32" s="35">
        <f>$G$28/'Fixed data'!$C$7</f>
        <v>-7.2871104444444433E-3</v>
      </c>
      <c r="W32" s="35">
        <f>$G$28/'Fixed data'!$C$7</f>
        <v>-7.2871104444444433E-3</v>
      </c>
      <c r="X32" s="35">
        <f>$G$28/'Fixed data'!$C$7</f>
        <v>-7.2871104444444433E-3</v>
      </c>
      <c r="Y32" s="35">
        <f>$G$28/'Fixed data'!$C$7</f>
        <v>-7.2871104444444433E-3</v>
      </c>
      <c r="Z32" s="35">
        <f>$G$28/'Fixed data'!$C$7</f>
        <v>-7.2871104444444433E-3</v>
      </c>
      <c r="AA32" s="35">
        <f>$G$28/'Fixed data'!$C$7</f>
        <v>-7.2871104444444433E-3</v>
      </c>
      <c r="AB32" s="35">
        <f>$G$28/'Fixed data'!$C$7</f>
        <v>-7.2871104444444433E-3</v>
      </c>
      <c r="AC32" s="35">
        <f>$G$28/'Fixed data'!$C$7</f>
        <v>-7.2871104444444433E-3</v>
      </c>
      <c r="AD32" s="35">
        <f>$G$28/'Fixed data'!$C$7</f>
        <v>-7.2871104444444433E-3</v>
      </c>
      <c r="AE32" s="35">
        <f>$G$28/'Fixed data'!$C$7</f>
        <v>-7.2871104444444433E-3</v>
      </c>
      <c r="AF32" s="35">
        <f>$G$28/'Fixed data'!$C$7</f>
        <v>-7.2871104444444433E-3</v>
      </c>
      <c r="AG32" s="35">
        <f>$G$28/'Fixed data'!$C$7</f>
        <v>-7.2871104444444433E-3</v>
      </c>
      <c r="AH32" s="35">
        <f>$G$28/'Fixed data'!$C$7</f>
        <v>-7.2871104444444433E-3</v>
      </c>
      <c r="AI32" s="35">
        <f>$G$28/'Fixed data'!$C$7</f>
        <v>-7.2871104444444433E-3</v>
      </c>
      <c r="AJ32" s="35">
        <f>$G$28/'Fixed data'!$C$7</f>
        <v>-7.2871104444444433E-3</v>
      </c>
      <c r="AK32" s="35">
        <f>$G$28/'Fixed data'!$C$7</f>
        <v>-7.2871104444444433E-3</v>
      </c>
      <c r="AL32" s="35">
        <f>$G$28/'Fixed data'!$C$7</f>
        <v>-7.2871104444444433E-3</v>
      </c>
      <c r="AM32" s="35">
        <f>$G$28/'Fixed data'!$C$7</f>
        <v>-7.2871104444444433E-3</v>
      </c>
      <c r="AN32" s="35">
        <f>$G$28/'Fixed data'!$C$7</f>
        <v>-7.2871104444444433E-3</v>
      </c>
      <c r="AO32" s="35">
        <f>$G$28/'Fixed data'!$C$7</f>
        <v>-7.2871104444444433E-3</v>
      </c>
      <c r="AP32" s="35">
        <f>$G$28/'Fixed data'!$C$7</f>
        <v>-7.2871104444444433E-3</v>
      </c>
      <c r="AQ32" s="35">
        <f>$G$28/'Fixed data'!$C$7</f>
        <v>-7.2871104444444433E-3</v>
      </c>
      <c r="AR32" s="35">
        <f>$G$28/'Fixed data'!$C$7</f>
        <v>-7.2871104444444433E-3</v>
      </c>
      <c r="AS32" s="35">
        <f>$G$28/'Fixed data'!$C$7</f>
        <v>-7.2871104444444433E-3</v>
      </c>
      <c r="AT32" s="35">
        <f>$G$28/'Fixed data'!$C$7</f>
        <v>-7.2871104444444433E-3</v>
      </c>
      <c r="AU32" s="35">
        <f>$G$28/'Fixed data'!$C$7</f>
        <v>-7.2871104444444433E-3</v>
      </c>
      <c r="AV32" s="35">
        <f>$G$28/'Fixed data'!$C$7</f>
        <v>-7.2871104444444433E-3</v>
      </c>
      <c r="AW32" s="35">
        <f>$G$28/'Fixed data'!$C$7</f>
        <v>-7.2871104444444433E-3</v>
      </c>
      <c r="AX32" s="35">
        <f>$G$28/'Fixed data'!$C$7</f>
        <v>-7.2871104444444433E-3</v>
      </c>
      <c r="AY32" s="35">
        <f>$G$28/'Fixed data'!$C$7</f>
        <v>-7.2871104444444433E-3</v>
      </c>
      <c r="AZ32" s="35">
        <f>$G$28/'Fixed data'!$C$7</f>
        <v>-7.2871104444444433E-3</v>
      </c>
      <c r="BA32" s="35"/>
      <c r="BB32" s="35"/>
      <c r="BC32" s="35"/>
      <c r="BD32" s="35"/>
    </row>
    <row r="33" spans="1:57" ht="16.5" hidden="1" customHeight="1" outlineLevel="1" x14ac:dyDescent="0.35">
      <c r="A33" s="114"/>
      <c r="B33" s="9" t="s">
        <v>4</v>
      </c>
      <c r="C33" s="11" t="s">
        <v>54</v>
      </c>
      <c r="D33" s="9" t="s">
        <v>39</v>
      </c>
      <c r="F33" s="35"/>
      <c r="G33" s="35"/>
      <c r="H33" s="35"/>
      <c r="I33" s="35">
        <f>$H$28/'Fixed data'!$C$7</f>
        <v>-6.9618750444444431E-3</v>
      </c>
      <c r="J33" s="35">
        <f>$H$28/'Fixed data'!$C$7</f>
        <v>-6.9618750444444431E-3</v>
      </c>
      <c r="K33" s="35">
        <f>$H$28/'Fixed data'!$C$7</f>
        <v>-6.9618750444444431E-3</v>
      </c>
      <c r="L33" s="35">
        <f>$H$28/'Fixed data'!$C$7</f>
        <v>-6.9618750444444431E-3</v>
      </c>
      <c r="M33" s="35">
        <f>$H$28/'Fixed data'!$C$7</f>
        <v>-6.9618750444444431E-3</v>
      </c>
      <c r="N33" s="35">
        <f>$H$28/'Fixed data'!$C$7</f>
        <v>-6.9618750444444431E-3</v>
      </c>
      <c r="O33" s="35">
        <f>$H$28/'Fixed data'!$C$7</f>
        <v>-6.9618750444444431E-3</v>
      </c>
      <c r="P33" s="35">
        <f>$H$28/'Fixed data'!$C$7</f>
        <v>-6.9618750444444431E-3</v>
      </c>
      <c r="Q33" s="35">
        <f>$H$28/'Fixed data'!$C$7</f>
        <v>-6.9618750444444431E-3</v>
      </c>
      <c r="R33" s="35">
        <f>$H$28/'Fixed data'!$C$7</f>
        <v>-6.9618750444444431E-3</v>
      </c>
      <c r="S33" s="35">
        <f>$H$28/'Fixed data'!$C$7</f>
        <v>-6.9618750444444431E-3</v>
      </c>
      <c r="T33" s="35">
        <f>$H$28/'Fixed data'!$C$7</f>
        <v>-6.9618750444444431E-3</v>
      </c>
      <c r="U33" s="35">
        <f>$H$28/'Fixed data'!$C$7</f>
        <v>-6.9618750444444431E-3</v>
      </c>
      <c r="V33" s="35">
        <f>$H$28/'Fixed data'!$C$7</f>
        <v>-6.9618750444444431E-3</v>
      </c>
      <c r="W33" s="35">
        <f>$H$28/'Fixed data'!$C$7</f>
        <v>-6.9618750444444431E-3</v>
      </c>
      <c r="X33" s="35">
        <f>$H$28/'Fixed data'!$C$7</f>
        <v>-6.9618750444444431E-3</v>
      </c>
      <c r="Y33" s="35">
        <f>$H$28/'Fixed data'!$C$7</f>
        <v>-6.9618750444444431E-3</v>
      </c>
      <c r="Z33" s="35">
        <f>$H$28/'Fixed data'!$C$7</f>
        <v>-6.9618750444444431E-3</v>
      </c>
      <c r="AA33" s="35">
        <f>$H$28/'Fixed data'!$C$7</f>
        <v>-6.9618750444444431E-3</v>
      </c>
      <c r="AB33" s="35">
        <f>$H$28/'Fixed data'!$C$7</f>
        <v>-6.9618750444444431E-3</v>
      </c>
      <c r="AC33" s="35">
        <f>$H$28/'Fixed data'!$C$7</f>
        <v>-6.9618750444444431E-3</v>
      </c>
      <c r="AD33" s="35">
        <f>$H$28/'Fixed data'!$C$7</f>
        <v>-6.9618750444444431E-3</v>
      </c>
      <c r="AE33" s="35">
        <f>$H$28/'Fixed data'!$C$7</f>
        <v>-6.9618750444444431E-3</v>
      </c>
      <c r="AF33" s="35">
        <f>$H$28/'Fixed data'!$C$7</f>
        <v>-6.9618750444444431E-3</v>
      </c>
      <c r="AG33" s="35">
        <f>$H$28/'Fixed data'!$C$7</f>
        <v>-6.9618750444444431E-3</v>
      </c>
      <c r="AH33" s="35">
        <f>$H$28/'Fixed data'!$C$7</f>
        <v>-6.9618750444444431E-3</v>
      </c>
      <c r="AI33" s="35">
        <f>$H$28/'Fixed data'!$C$7</f>
        <v>-6.9618750444444431E-3</v>
      </c>
      <c r="AJ33" s="35">
        <f>$H$28/'Fixed data'!$C$7</f>
        <v>-6.9618750444444431E-3</v>
      </c>
      <c r="AK33" s="35">
        <f>$H$28/'Fixed data'!$C$7</f>
        <v>-6.9618750444444431E-3</v>
      </c>
      <c r="AL33" s="35">
        <f>$H$28/'Fixed data'!$C$7</f>
        <v>-6.9618750444444431E-3</v>
      </c>
      <c r="AM33" s="35">
        <f>$H$28/'Fixed data'!$C$7</f>
        <v>-6.9618750444444431E-3</v>
      </c>
      <c r="AN33" s="35">
        <f>$H$28/'Fixed data'!$C$7</f>
        <v>-6.9618750444444431E-3</v>
      </c>
      <c r="AO33" s="35">
        <f>$H$28/'Fixed data'!$C$7</f>
        <v>-6.9618750444444431E-3</v>
      </c>
      <c r="AP33" s="35">
        <f>$H$28/'Fixed data'!$C$7</f>
        <v>-6.9618750444444431E-3</v>
      </c>
      <c r="AQ33" s="35">
        <f>$H$28/'Fixed data'!$C$7</f>
        <v>-6.9618750444444431E-3</v>
      </c>
      <c r="AR33" s="35">
        <f>$H$28/'Fixed data'!$C$7</f>
        <v>-6.9618750444444431E-3</v>
      </c>
      <c r="AS33" s="35">
        <f>$H$28/'Fixed data'!$C$7</f>
        <v>-6.9618750444444431E-3</v>
      </c>
      <c r="AT33" s="35">
        <f>$H$28/'Fixed data'!$C$7</f>
        <v>-6.9618750444444431E-3</v>
      </c>
      <c r="AU33" s="35">
        <f>$H$28/'Fixed data'!$C$7</f>
        <v>-6.9618750444444431E-3</v>
      </c>
      <c r="AV33" s="35">
        <f>$H$28/'Fixed data'!$C$7</f>
        <v>-6.9618750444444431E-3</v>
      </c>
      <c r="AW33" s="35">
        <f>$H$28/'Fixed data'!$C$7</f>
        <v>-6.9618750444444431E-3</v>
      </c>
      <c r="AX33" s="35">
        <f>$H$28/'Fixed data'!$C$7</f>
        <v>-6.9618750444444431E-3</v>
      </c>
      <c r="AY33" s="35">
        <f>$H$28/'Fixed data'!$C$7</f>
        <v>-6.9618750444444431E-3</v>
      </c>
      <c r="AZ33" s="35">
        <f>$H$28/'Fixed data'!$C$7</f>
        <v>-6.9618750444444431E-3</v>
      </c>
      <c r="BA33" s="35">
        <f>$H$28/'Fixed data'!$C$7</f>
        <v>-6.9618750444444431E-3</v>
      </c>
      <c r="BB33" s="35"/>
      <c r="BC33" s="35"/>
      <c r="BD33" s="35"/>
    </row>
    <row r="34" spans="1:57" ht="16.5" hidden="1" customHeight="1" outlineLevel="1" x14ac:dyDescent="0.35">
      <c r="A34" s="114"/>
      <c r="B34" s="9" t="s">
        <v>5</v>
      </c>
      <c r="C34" s="11" t="s">
        <v>55</v>
      </c>
      <c r="D34" s="9" t="s">
        <v>39</v>
      </c>
      <c r="F34" s="35"/>
      <c r="G34" s="35"/>
      <c r="H34" s="35"/>
      <c r="I34" s="35"/>
      <c r="J34" s="35">
        <f>$I$28/'Fixed data'!$C$7</f>
        <v>-7.5843617111111105E-3</v>
      </c>
      <c r="K34" s="35">
        <f>$I$28/'Fixed data'!$C$7</f>
        <v>-7.5843617111111105E-3</v>
      </c>
      <c r="L34" s="35">
        <f>$I$28/'Fixed data'!$C$7</f>
        <v>-7.5843617111111105E-3</v>
      </c>
      <c r="M34" s="35">
        <f>$I$28/'Fixed data'!$C$7</f>
        <v>-7.5843617111111105E-3</v>
      </c>
      <c r="N34" s="35">
        <f>$I$28/'Fixed data'!$C$7</f>
        <v>-7.5843617111111105E-3</v>
      </c>
      <c r="O34" s="35">
        <f>$I$28/'Fixed data'!$C$7</f>
        <v>-7.5843617111111105E-3</v>
      </c>
      <c r="P34" s="35">
        <f>$I$28/'Fixed data'!$C$7</f>
        <v>-7.5843617111111105E-3</v>
      </c>
      <c r="Q34" s="35">
        <f>$I$28/'Fixed data'!$C$7</f>
        <v>-7.5843617111111105E-3</v>
      </c>
      <c r="R34" s="35">
        <f>$I$28/'Fixed data'!$C$7</f>
        <v>-7.5843617111111105E-3</v>
      </c>
      <c r="S34" s="35">
        <f>$I$28/'Fixed data'!$C$7</f>
        <v>-7.5843617111111105E-3</v>
      </c>
      <c r="T34" s="35">
        <f>$I$28/'Fixed data'!$C$7</f>
        <v>-7.5843617111111105E-3</v>
      </c>
      <c r="U34" s="35">
        <f>$I$28/'Fixed data'!$C$7</f>
        <v>-7.5843617111111105E-3</v>
      </c>
      <c r="V34" s="35">
        <f>$I$28/'Fixed data'!$C$7</f>
        <v>-7.5843617111111105E-3</v>
      </c>
      <c r="W34" s="35">
        <f>$I$28/'Fixed data'!$C$7</f>
        <v>-7.5843617111111105E-3</v>
      </c>
      <c r="X34" s="35">
        <f>$I$28/'Fixed data'!$C$7</f>
        <v>-7.5843617111111105E-3</v>
      </c>
      <c r="Y34" s="35">
        <f>$I$28/'Fixed data'!$C$7</f>
        <v>-7.5843617111111105E-3</v>
      </c>
      <c r="Z34" s="35">
        <f>$I$28/'Fixed data'!$C$7</f>
        <v>-7.5843617111111105E-3</v>
      </c>
      <c r="AA34" s="35">
        <f>$I$28/'Fixed data'!$C$7</f>
        <v>-7.5843617111111105E-3</v>
      </c>
      <c r="AB34" s="35">
        <f>$I$28/'Fixed data'!$C$7</f>
        <v>-7.5843617111111105E-3</v>
      </c>
      <c r="AC34" s="35">
        <f>$I$28/'Fixed data'!$C$7</f>
        <v>-7.5843617111111105E-3</v>
      </c>
      <c r="AD34" s="35">
        <f>$I$28/'Fixed data'!$C$7</f>
        <v>-7.5843617111111105E-3</v>
      </c>
      <c r="AE34" s="35">
        <f>$I$28/'Fixed data'!$C$7</f>
        <v>-7.5843617111111105E-3</v>
      </c>
      <c r="AF34" s="35">
        <f>$I$28/'Fixed data'!$C$7</f>
        <v>-7.5843617111111105E-3</v>
      </c>
      <c r="AG34" s="35">
        <f>$I$28/'Fixed data'!$C$7</f>
        <v>-7.5843617111111105E-3</v>
      </c>
      <c r="AH34" s="35">
        <f>$I$28/'Fixed data'!$C$7</f>
        <v>-7.5843617111111105E-3</v>
      </c>
      <c r="AI34" s="35">
        <f>$I$28/'Fixed data'!$C$7</f>
        <v>-7.5843617111111105E-3</v>
      </c>
      <c r="AJ34" s="35">
        <f>$I$28/'Fixed data'!$C$7</f>
        <v>-7.5843617111111105E-3</v>
      </c>
      <c r="AK34" s="35">
        <f>$I$28/'Fixed data'!$C$7</f>
        <v>-7.5843617111111105E-3</v>
      </c>
      <c r="AL34" s="35">
        <f>$I$28/'Fixed data'!$C$7</f>
        <v>-7.5843617111111105E-3</v>
      </c>
      <c r="AM34" s="35">
        <f>$I$28/'Fixed data'!$C$7</f>
        <v>-7.5843617111111105E-3</v>
      </c>
      <c r="AN34" s="35">
        <f>$I$28/'Fixed data'!$C$7</f>
        <v>-7.5843617111111105E-3</v>
      </c>
      <c r="AO34" s="35">
        <f>$I$28/'Fixed data'!$C$7</f>
        <v>-7.5843617111111105E-3</v>
      </c>
      <c r="AP34" s="35">
        <f>$I$28/'Fixed data'!$C$7</f>
        <v>-7.5843617111111105E-3</v>
      </c>
      <c r="AQ34" s="35">
        <f>$I$28/'Fixed data'!$C$7</f>
        <v>-7.5843617111111105E-3</v>
      </c>
      <c r="AR34" s="35">
        <f>$I$28/'Fixed data'!$C$7</f>
        <v>-7.5843617111111105E-3</v>
      </c>
      <c r="AS34" s="35">
        <f>$I$28/'Fixed data'!$C$7</f>
        <v>-7.5843617111111105E-3</v>
      </c>
      <c r="AT34" s="35">
        <f>$I$28/'Fixed data'!$C$7</f>
        <v>-7.5843617111111105E-3</v>
      </c>
      <c r="AU34" s="35">
        <f>$I$28/'Fixed data'!$C$7</f>
        <v>-7.5843617111111105E-3</v>
      </c>
      <c r="AV34" s="35">
        <f>$I$28/'Fixed data'!$C$7</f>
        <v>-7.5843617111111105E-3</v>
      </c>
      <c r="AW34" s="35">
        <f>$I$28/'Fixed data'!$C$7</f>
        <v>-7.5843617111111105E-3</v>
      </c>
      <c r="AX34" s="35">
        <f>$I$28/'Fixed data'!$C$7</f>
        <v>-7.5843617111111105E-3</v>
      </c>
      <c r="AY34" s="35">
        <f>$I$28/'Fixed data'!$C$7</f>
        <v>-7.5843617111111105E-3</v>
      </c>
      <c r="AZ34" s="35">
        <f>$I$28/'Fixed data'!$C$7</f>
        <v>-7.5843617111111105E-3</v>
      </c>
      <c r="BA34" s="35">
        <f>$I$28/'Fixed data'!$C$7</f>
        <v>-7.5843617111111105E-3</v>
      </c>
      <c r="BB34" s="35">
        <f>$I$28/'Fixed data'!$C$7</f>
        <v>-7.5843617111111105E-3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-3.9885844444444438E-3</v>
      </c>
      <c r="G60" s="35">
        <f t="shared" si="5"/>
        <v>-1.6099595555555554E-2</v>
      </c>
      <c r="H60" s="35">
        <f t="shared" si="5"/>
        <v>-2.3386705999999997E-2</v>
      </c>
      <c r="I60" s="35">
        <f t="shared" si="5"/>
        <v>-3.0348581044444441E-2</v>
      </c>
      <c r="J60" s="35">
        <f t="shared" si="5"/>
        <v>-3.7932942755555553E-2</v>
      </c>
      <c r="K60" s="35">
        <f t="shared" si="5"/>
        <v>-3.7932942755555553E-2</v>
      </c>
      <c r="L60" s="35">
        <f t="shared" si="5"/>
        <v>-3.7932942755555553E-2</v>
      </c>
      <c r="M60" s="35">
        <f t="shared" si="5"/>
        <v>-3.7932942755555553E-2</v>
      </c>
      <c r="N60" s="35">
        <f t="shared" si="5"/>
        <v>-3.7932942755555553E-2</v>
      </c>
      <c r="O60" s="35">
        <f t="shared" si="5"/>
        <v>-3.7932942755555553E-2</v>
      </c>
      <c r="P60" s="35">
        <f t="shared" si="5"/>
        <v>-3.7932942755555553E-2</v>
      </c>
      <c r="Q60" s="35">
        <f t="shared" si="5"/>
        <v>-3.7932942755555553E-2</v>
      </c>
      <c r="R60" s="35">
        <f t="shared" si="5"/>
        <v>-3.7932942755555553E-2</v>
      </c>
      <c r="S60" s="35">
        <f t="shared" si="5"/>
        <v>-3.7932942755555553E-2</v>
      </c>
      <c r="T60" s="35">
        <f t="shared" si="5"/>
        <v>-3.7932942755555553E-2</v>
      </c>
      <c r="U60" s="35">
        <f t="shared" si="5"/>
        <v>-3.7932942755555553E-2</v>
      </c>
      <c r="V60" s="35">
        <f t="shared" si="5"/>
        <v>-3.7932942755555553E-2</v>
      </c>
      <c r="W60" s="35">
        <f t="shared" si="5"/>
        <v>-3.7932942755555553E-2</v>
      </c>
      <c r="X60" s="35">
        <f t="shared" si="5"/>
        <v>-3.7932942755555553E-2</v>
      </c>
      <c r="Y60" s="35">
        <f t="shared" si="5"/>
        <v>-3.7932942755555553E-2</v>
      </c>
      <c r="Z60" s="35">
        <f t="shared" si="5"/>
        <v>-3.7932942755555553E-2</v>
      </c>
      <c r="AA60" s="35">
        <f t="shared" si="5"/>
        <v>-3.7932942755555553E-2</v>
      </c>
      <c r="AB60" s="35">
        <f t="shared" si="5"/>
        <v>-3.7932942755555553E-2</v>
      </c>
      <c r="AC60" s="35">
        <f t="shared" si="5"/>
        <v>-3.7932942755555553E-2</v>
      </c>
      <c r="AD60" s="35">
        <f t="shared" si="5"/>
        <v>-3.7932942755555553E-2</v>
      </c>
      <c r="AE60" s="35">
        <f t="shared" si="5"/>
        <v>-3.7932942755555553E-2</v>
      </c>
      <c r="AF60" s="35">
        <f t="shared" si="5"/>
        <v>-3.7932942755555553E-2</v>
      </c>
      <c r="AG60" s="35">
        <f t="shared" si="5"/>
        <v>-3.7932942755555553E-2</v>
      </c>
      <c r="AH60" s="35">
        <f t="shared" si="5"/>
        <v>-3.7932942755555553E-2</v>
      </c>
      <c r="AI60" s="35">
        <f t="shared" si="5"/>
        <v>-3.7932942755555553E-2</v>
      </c>
      <c r="AJ60" s="35">
        <f t="shared" si="5"/>
        <v>-3.7932942755555553E-2</v>
      </c>
      <c r="AK60" s="35">
        <f t="shared" si="5"/>
        <v>-3.7932942755555553E-2</v>
      </c>
      <c r="AL60" s="35">
        <f t="shared" si="5"/>
        <v>-3.7932942755555553E-2</v>
      </c>
      <c r="AM60" s="35">
        <f t="shared" si="5"/>
        <v>-3.7932942755555553E-2</v>
      </c>
      <c r="AN60" s="35">
        <f t="shared" si="5"/>
        <v>-3.7932942755555553E-2</v>
      </c>
      <c r="AO60" s="35">
        <f t="shared" si="5"/>
        <v>-3.7932942755555553E-2</v>
      </c>
      <c r="AP60" s="35">
        <f t="shared" si="5"/>
        <v>-3.7932942755555553E-2</v>
      </c>
      <c r="AQ60" s="35">
        <f t="shared" si="5"/>
        <v>-3.7932942755555553E-2</v>
      </c>
      <c r="AR60" s="35">
        <f t="shared" si="5"/>
        <v>-3.7932942755555553E-2</v>
      </c>
      <c r="AS60" s="35">
        <f t="shared" si="5"/>
        <v>-3.7932942755555553E-2</v>
      </c>
      <c r="AT60" s="35">
        <f t="shared" si="5"/>
        <v>-3.7932942755555553E-2</v>
      </c>
      <c r="AU60" s="35">
        <f t="shared" si="5"/>
        <v>-3.7932942755555553E-2</v>
      </c>
      <c r="AV60" s="35">
        <f t="shared" si="5"/>
        <v>-3.7932942755555553E-2</v>
      </c>
      <c r="AW60" s="35">
        <f t="shared" si="5"/>
        <v>-3.7932942755555553E-2</v>
      </c>
      <c r="AX60" s="35">
        <f t="shared" si="5"/>
        <v>-3.7932942755555553E-2</v>
      </c>
      <c r="AY60" s="35">
        <f t="shared" si="5"/>
        <v>-3.394435831111111E-2</v>
      </c>
      <c r="AZ60" s="35">
        <f t="shared" si="5"/>
        <v>-2.1833347199999999E-2</v>
      </c>
      <c r="BA60" s="35">
        <f t="shared" si="5"/>
        <v>-1.4546236755555553E-2</v>
      </c>
      <c r="BB60" s="35">
        <f t="shared" si="5"/>
        <v>-7.5843617111111105E-3</v>
      </c>
      <c r="BC60" s="35">
        <f t="shared" si="5"/>
        <v>0</v>
      </c>
      <c r="BD60" s="35">
        <f t="shared" si="5"/>
        <v>0</v>
      </c>
    </row>
    <row r="61" spans="1:56" ht="17.25" hidden="1" customHeight="1" outlineLevel="1" x14ac:dyDescent="0.35">
      <c r="A61" s="114"/>
      <c r="B61" s="9" t="s">
        <v>34</v>
      </c>
      <c r="C61" s="9" t="s">
        <v>60</v>
      </c>
      <c r="D61" s="9" t="s">
        <v>39</v>
      </c>
      <c r="E61" s="35">
        <v>0</v>
      </c>
      <c r="F61" s="35">
        <f>E62</f>
        <v>-0.17948629999999999</v>
      </c>
      <c r="G61" s="35">
        <f t="shared" ref="G61:BD61" si="6">F62</f>
        <v>-0.72049321555555546</v>
      </c>
      <c r="H61" s="35">
        <f t="shared" si="6"/>
        <v>-1.0323135899999998</v>
      </c>
      <c r="I61" s="35">
        <f t="shared" si="6"/>
        <v>-1.3222112609999996</v>
      </c>
      <c r="J61" s="35">
        <f t="shared" si="6"/>
        <v>-1.6331589569555551</v>
      </c>
      <c r="K61" s="35">
        <f t="shared" si="6"/>
        <v>-1.5952260141999997</v>
      </c>
      <c r="L61" s="35">
        <f t="shared" si="6"/>
        <v>-1.5572930714444442</v>
      </c>
      <c r="M61" s="35">
        <f t="shared" si="6"/>
        <v>-1.5193601286888887</v>
      </c>
      <c r="N61" s="35">
        <f t="shared" si="6"/>
        <v>-1.4814271859333332</v>
      </c>
      <c r="O61" s="35">
        <f t="shared" si="6"/>
        <v>-1.4434942431777777</v>
      </c>
      <c r="P61" s="35">
        <f t="shared" si="6"/>
        <v>-1.4055613004222223</v>
      </c>
      <c r="Q61" s="35">
        <f t="shared" si="6"/>
        <v>-1.3676283576666668</v>
      </c>
      <c r="R61" s="35">
        <f t="shared" si="6"/>
        <v>-1.3296954149111113</v>
      </c>
      <c r="S61" s="35">
        <f t="shared" si="6"/>
        <v>-1.2917624721555558</v>
      </c>
      <c r="T61" s="35">
        <f t="shared" si="6"/>
        <v>-1.2538295294000004</v>
      </c>
      <c r="U61" s="35">
        <f t="shared" si="6"/>
        <v>-1.2158965866444449</v>
      </c>
      <c r="V61" s="35">
        <f t="shared" si="6"/>
        <v>-1.1779636438888894</v>
      </c>
      <c r="W61" s="35">
        <f t="shared" si="6"/>
        <v>-1.1400307011333339</v>
      </c>
      <c r="X61" s="35">
        <f t="shared" si="6"/>
        <v>-1.1020977583777785</v>
      </c>
      <c r="Y61" s="35">
        <f t="shared" si="6"/>
        <v>-1.064164815622223</v>
      </c>
      <c r="Z61" s="35">
        <f t="shared" si="6"/>
        <v>-1.0262318728666675</v>
      </c>
      <c r="AA61" s="35">
        <f t="shared" si="6"/>
        <v>-0.98829893011111192</v>
      </c>
      <c r="AB61" s="35">
        <f t="shared" si="6"/>
        <v>-0.95036598735555633</v>
      </c>
      <c r="AC61" s="35">
        <f t="shared" si="6"/>
        <v>-0.91243304460000074</v>
      </c>
      <c r="AD61" s="35">
        <f t="shared" si="6"/>
        <v>-0.87450010184444515</v>
      </c>
      <c r="AE61" s="35">
        <f t="shared" si="6"/>
        <v>-0.83656715908888957</v>
      </c>
      <c r="AF61" s="35">
        <f t="shared" si="6"/>
        <v>-0.79863421633333398</v>
      </c>
      <c r="AG61" s="35">
        <f t="shared" si="6"/>
        <v>-0.76070127357777839</v>
      </c>
      <c r="AH61" s="35">
        <f t="shared" si="6"/>
        <v>-0.7227683308222228</v>
      </c>
      <c r="AI61" s="35">
        <f t="shared" si="6"/>
        <v>-0.68483538806666722</v>
      </c>
      <c r="AJ61" s="35">
        <f t="shared" si="6"/>
        <v>-0.64690244531111163</v>
      </c>
      <c r="AK61" s="35">
        <f t="shared" si="6"/>
        <v>-0.60896950255555604</v>
      </c>
      <c r="AL61" s="35">
        <f t="shared" si="6"/>
        <v>-0.57103655980000045</v>
      </c>
      <c r="AM61" s="35">
        <f t="shared" si="6"/>
        <v>-0.53310361704444487</v>
      </c>
      <c r="AN61" s="35">
        <f t="shared" si="6"/>
        <v>-0.49517067428888933</v>
      </c>
      <c r="AO61" s="35">
        <f t="shared" si="6"/>
        <v>-0.4572377315333338</v>
      </c>
      <c r="AP61" s="35">
        <f t="shared" si="6"/>
        <v>-0.41930478877777827</v>
      </c>
      <c r="AQ61" s="35">
        <f t="shared" si="6"/>
        <v>-0.38137184602222274</v>
      </c>
      <c r="AR61" s="35">
        <f t="shared" si="6"/>
        <v>-0.34343890326666721</v>
      </c>
      <c r="AS61" s="35">
        <f t="shared" si="6"/>
        <v>-0.30550596051111167</v>
      </c>
      <c r="AT61" s="35">
        <f t="shared" si="6"/>
        <v>-0.26757301775555614</v>
      </c>
      <c r="AU61" s="35">
        <f t="shared" si="6"/>
        <v>-0.22964007500000058</v>
      </c>
      <c r="AV61" s="35">
        <f t="shared" si="6"/>
        <v>-0.19170713224444502</v>
      </c>
      <c r="AW61" s="35">
        <f t="shared" si="6"/>
        <v>-0.15377418948888946</v>
      </c>
      <c r="AX61" s="35">
        <f t="shared" si="6"/>
        <v>-0.1158412467333339</v>
      </c>
      <c r="AY61" s="35">
        <f t="shared" si="6"/>
        <v>-7.7908303977778343E-2</v>
      </c>
      <c r="AZ61" s="35">
        <f t="shared" si="6"/>
        <v>-4.3963945666667233E-2</v>
      </c>
      <c r="BA61" s="35">
        <f t="shared" si="6"/>
        <v>-2.2130598466667234E-2</v>
      </c>
      <c r="BB61" s="35">
        <f t="shared" si="6"/>
        <v>-7.5843617111116812E-3</v>
      </c>
      <c r="BC61" s="35">
        <f t="shared" si="6"/>
        <v>-5.7072402359636953E-16</v>
      </c>
      <c r="BD61" s="35">
        <f t="shared" si="6"/>
        <v>-5.7072402359636953E-16</v>
      </c>
    </row>
    <row r="62" spans="1:56" ht="16.5" hidden="1" customHeight="1" outlineLevel="1" x14ac:dyDescent="0.3">
      <c r="A62" s="114"/>
      <c r="B62" s="9" t="s">
        <v>33</v>
      </c>
      <c r="C62" s="9" t="s">
        <v>67</v>
      </c>
      <c r="D62" s="9" t="s">
        <v>39</v>
      </c>
      <c r="E62" s="35">
        <f t="shared" ref="E62:BD62" si="7">E28-E60+E61</f>
        <v>-0.17948629999999999</v>
      </c>
      <c r="F62" s="35">
        <f t="shared" si="7"/>
        <v>-0.72049321555555546</v>
      </c>
      <c r="G62" s="35">
        <f t="shared" si="7"/>
        <v>-1.0323135899999998</v>
      </c>
      <c r="H62" s="35">
        <f t="shared" si="7"/>
        <v>-1.3222112609999996</v>
      </c>
      <c r="I62" s="35">
        <f t="shared" si="7"/>
        <v>-1.6331589569555551</v>
      </c>
      <c r="J62" s="35">
        <f t="shared" si="7"/>
        <v>-1.5952260141999997</v>
      </c>
      <c r="K62" s="35">
        <f t="shared" si="7"/>
        <v>-1.5572930714444442</v>
      </c>
      <c r="L62" s="35">
        <f t="shared" si="7"/>
        <v>-1.5193601286888887</v>
      </c>
      <c r="M62" s="35">
        <f t="shared" si="7"/>
        <v>-1.4814271859333332</v>
      </c>
      <c r="N62" s="35">
        <f t="shared" si="7"/>
        <v>-1.4434942431777777</v>
      </c>
      <c r="O62" s="35">
        <f t="shared" si="7"/>
        <v>-1.4055613004222223</v>
      </c>
      <c r="P62" s="35">
        <f t="shared" si="7"/>
        <v>-1.3676283576666668</v>
      </c>
      <c r="Q62" s="35">
        <f t="shared" si="7"/>
        <v>-1.3296954149111113</v>
      </c>
      <c r="R62" s="35">
        <f t="shared" si="7"/>
        <v>-1.2917624721555558</v>
      </c>
      <c r="S62" s="35">
        <f t="shared" si="7"/>
        <v>-1.2538295294000004</v>
      </c>
      <c r="T62" s="35">
        <f t="shared" si="7"/>
        <v>-1.2158965866444449</v>
      </c>
      <c r="U62" s="35">
        <f t="shared" si="7"/>
        <v>-1.1779636438888894</v>
      </c>
      <c r="V62" s="35">
        <f t="shared" si="7"/>
        <v>-1.1400307011333339</v>
      </c>
      <c r="W62" s="35">
        <f t="shared" si="7"/>
        <v>-1.1020977583777785</v>
      </c>
      <c r="X62" s="35">
        <f t="shared" si="7"/>
        <v>-1.064164815622223</v>
      </c>
      <c r="Y62" s="35">
        <f t="shared" si="7"/>
        <v>-1.0262318728666675</v>
      </c>
      <c r="Z62" s="35">
        <f t="shared" si="7"/>
        <v>-0.98829893011111192</v>
      </c>
      <c r="AA62" s="35">
        <f t="shared" si="7"/>
        <v>-0.95036598735555633</v>
      </c>
      <c r="AB62" s="35">
        <f t="shared" si="7"/>
        <v>-0.91243304460000074</v>
      </c>
      <c r="AC62" s="35">
        <f t="shared" si="7"/>
        <v>-0.87450010184444515</v>
      </c>
      <c r="AD62" s="35">
        <f t="shared" si="7"/>
        <v>-0.83656715908888957</v>
      </c>
      <c r="AE62" s="35">
        <f t="shared" si="7"/>
        <v>-0.79863421633333398</v>
      </c>
      <c r="AF62" s="35">
        <f t="shared" si="7"/>
        <v>-0.76070127357777839</v>
      </c>
      <c r="AG62" s="35">
        <f t="shared" si="7"/>
        <v>-0.7227683308222228</v>
      </c>
      <c r="AH62" s="35">
        <f t="shared" si="7"/>
        <v>-0.68483538806666722</v>
      </c>
      <c r="AI62" s="35">
        <f t="shared" si="7"/>
        <v>-0.64690244531111163</v>
      </c>
      <c r="AJ62" s="35">
        <f t="shared" si="7"/>
        <v>-0.60896950255555604</v>
      </c>
      <c r="AK62" s="35">
        <f t="shared" si="7"/>
        <v>-0.57103655980000045</v>
      </c>
      <c r="AL62" s="35">
        <f t="shared" si="7"/>
        <v>-0.53310361704444487</v>
      </c>
      <c r="AM62" s="35">
        <f t="shared" si="7"/>
        <v>-0.49517067428888933</v>
      </c>
      <c r="AN62" s="35">
        <f t="shared" si="7"/>
        <v>-0.4572377315333338</v>
      </c>
      <c r="AO62" s="35">
        <f t="shared" si="7"/>
        <v>-0.41930478877777827</v>
      </c>
      <c r="AP62" s="35">
        <f t="shared" si="7"/>
        <v>-0.38137184602222274</v>
      </c>
      <c r="AQ62" s="35">
        <f t="shared" si="7"/>
        <v>-0.34343890326666721</v>
      </c>
      <c r="AR62" s="35">
        <f t="shared" si="7"/>
        <v>-0.30550596051111167</v>
      </c>
      <c r="AS62" s="35">
        <f t="shared" si="7"/>
        <v>-0.26757301775555614</v>
      </c>
      <c r="AT62" s="35">
        <f t="shared" si="7"/>
        <v>-0.22964007500000058</v>
      </c>
      <c r="AU62" s="35">
        <f t="shared" si="7"/>
        <v>-0.19170713224444502</v>
      </c>
      <c r="AV62" s="35">
        <f t="shared" si="7"/>
        <v>-0.15377418948888946</v>
      </c>
      <c r="AW62" s="35">
        <f t="shared" si="7"/>
        <v>-0.1158412467333339</v>
      </c>
      <c r="AX62" s="35">
        <f t="shared" si="7"/>
        <v>-7.7908303977778343E-2</v>
      </c>
      <c r="AY62" s="35">
        <f t="shared" si="7"/>
        <v>-4.3963945666667233E-2</v>
      </c>
      <c r="AZ62" s="35">
        <f t="shared" si="7"/>
        <v>-2.2130598466667234E-2</v>
      </c>
      <c r="BA62" s="35">
        <f t="shared" si="7"/>
        <v>-7.5843617111116812E-3</v>
      </c>
      <c r="BB62" s="35">
        <f t="shared" si="7"/>
        <v>-5.7072402359636953E-16</v>
      </c>
      <c r="BC62" s="35">
        <f t="shared" si="7"/>
        <v>-5.7072402359636953E-16</v>
      </c>
      <c r="BD62" s="35">
        <f t="shared" si="7"/>
        <v>-5.7072402359636953E-16</v>
      </c>
    </row>
    <row r="63" spans="1:56" ht="16.5" collapsed="1" x14ac:dyDescent="0.3">
      <c r="A63" s="114"/>
      <c r="B63" s="9" t="s">
        <v>8</v>
      </c>
      <c r="C63" s="11" t="s">
        <v>66</v>
      </c>
      <c r="D63" s="9" t="s">
        <v>39</v>
      </c>
      <c r="E63" s="35">
        <f>AVERAGE(E61:E62)*'Fixed data'!$C$3</f>
        <v>-3.5897259999999997E-3</v>
      </c>
      <c r="F63" s="35">
        <f>AVERAGE(F61:F62)*'Fixed data'!$C$3</f>
        <v>-1.7999590311111108E-2</v>
      </c>
      <c r="G63" s="35">
        <f>AVERAGE(G61:G62)*'Fixed data'!$C$3</f>
        <v>-3.5056136111111108E-2</v>
      </c>
      <c r="H63" s="35">
        <f>AVERAGE(H61:H62)*'Fixed data'!$C$3</f>
        <v>-4.709049701999999E-2</v>
      </c>
      <c r="I63" s="35">
        <f>AVERAGE(I61:I62)*'Fixed data'!$C$3</f>
        <v>-5.9107404359111097E-2</v>
      </c>
      <c r="J63" s="35">
        <f>AVERAGE(J61:J62)*'Fixed data'!$C$3</f>
        <v>-6.4567699423111094E-2</v>
      </c>
      <c r="K63" s="35">
        <f>AVERAGE(K61:K62)*'Fixed data'!$C$3</f>
        <v>-6.3050381712888875E-2</v>
      </c>
      <c r="L63" s="35">
        <f>AVERAGE(L61:L62)*'Fixed data'!$C$3</f>
        <v>-6.1533064002666657E-2</v>
      </c>
      <c r="M63" s="35">
        <f>AVERAGE(M61:M62)*'Fixed data'!$C$3</f>
        <v>-6.0015746292444438E-2</v>
      </c>
      <c r="N63" s="35">
        <f>AVERAGE(N61:N62)*'Fixed data'!$C$3</f>
        <v>-5.849842858222222E-2</v>
      </c>
      <c r="O63" s="35">
        <f>AVERAGE(O61:O62)*'Fixed data'!$C$3</f>
        <v>-5.6981110872000001E-2</v>
      </c>
      <c r="P63" s="35">
        <f>AVERAGE(P61:P62)*'Fixed data'!$C$3</f>
        <v>-5.5463793161777783E-2</v>
      </c>
      <c r="Q63" s="35">
        <f>AVERAGE(Q61:Q62)*'Fixed data'!$C$3</f>
        <v>-5.3946475451555564E-2</v>
      </c>
      <c r="R63" s="35">
        <f>AVERAGE(R61:R62)*'Fixed data'!$C$3</f>
        <v>-5.2429157741333346E-2</v>
      </c>
      <c r="S63" s="35">
        <f>AVERAGE(S61:S62)*'Fixed data'!$C$3</f>
        <v>-5.0911840031111127E-2</v>
      </c>
      <c r="T63" s="35">
        <f>AVERAGE(T61:T62)*'Fixed data'!$C$3</f>
        <v>-4.9394522320888909E-2</v>
      </c>
      <c r="U63" s="35">
        <f>AVERAGE(U61:U62)*'Fixed data'!$C$3</f>
        <v>-4.787720461066669E-2</v>
      </c>
      <c r="V63" s="35">
        <f>AVERAGE(V61:V62)*'Fixed data'!$C$3</f>
        <v>-4.6359886900444465E-2</v>
      </c>
      <c r="W63" s="35">
        <f>AVERAGE(W61:W62)*'Fixed data'!$C$3</f>
        <v>-4.4842569190222246E-2</v>
      </c>
      <c r="X63" s="35">
        <f>AVERAGE(X61:X62)*'Fixed data'!$C$3</f>
        <v>-4.3325251480000028E-2</v>
      </c>
      <c r="Y63" s="35">
        <f>AVERAGE(Y61:Y62)*'Fixed data'!$C$3</f>
        <v>-4.1807933769777809E-2</v>
      </c>
      <c r="Z63" s="35">
        <f>AVERAGE(Z61:Z62)*'Fixed data'!$C$3</f>
        <v>-4.0290616059555591E-2</v>
      </c>
      <c r="AA63" s="35">
        <f>AVERAGE(AA61:AA62)*'Fixed data'!$C$3</f>
        <v>-3.8773298349333365E-2</v>
      </c>
      <c r="AB63" s="35">
        <f>AVERAGE(AB61:AB62)*'Fixed data'!$C$3</f>
        <v>-3.7255980639111147E-2</v>
      </c>
      <c r="AC63" s="35">
        <f>AVERAGE(AC61:AC62)*'Fixed data'!$C$3</f>
        <v>-3.5738662928888915E-2</v>
      </c>
      <c r="AD63" s="35">
        <f>AVERAGE(AD61:AD62)*'Fixed data'!$C$3</f>
        <v>-3.4221345218666696E-2</v>
      </c>
      <c r="AE63" s="35">
        <f>AVERAGE(AE61:AE62)*'Fixed data'!$C$3</f>
        <v>-3.2704027508444471E-2</v>
      </c>
      <c r="AF63" s="35">
        <f>AVERAGE(AF61:AF62)*'Fixed data'!$C$3</f>
        <v>-3.1186709798222249E-2</v>
      </c>
      <c r="AG63" s="35">
        <f>AVERAGE(AG61:AG62)*'Fixed data'!$C$3</f>
        <v>-2.9669392088000023E-2</v>
      </c>
      <c r="AH63" s="35">
        <f>AVERAGE(AH61:AH62)*'Fixed data'!$C$3</f>
        <v>-2.8152074377777805E-2</v>
      </c>
      <c r="AI63" s="35">
        <f>AVERAGE(AI61:AI62)*'Fixed data'!$C$3</f>
        <v>-2.6634756667555576E-2</v>
      </c>
      <c r="AJ63" s="35">
        <f>AVERAGE(AJ61:AJ62)*'Fixed data'!$C$3</f>
        <v>-2.5117438957333357E-2</v>
      </c>
      <c r="AK63" s="35">
        <f>AVERAGE(AK61:AK62)*'Fixed data'!$C$3</f>
        <v>-2.3600121247111128E-2</v>
      </c>
      <c r="AL63" s="35">
        <f>AVERAGE(AL61:AL62)*'Fixed data'!$C$3</f>
        <v>-2.208280353688891E-2</v>
      </c>
      <c r="AM63" s="35">
        <f>AVERAGE(AM61:AM62)*'Fixed data'!$C$3</f>
        <v>-2.0565485826666684E-2</v>
      </c>
      <c r="AN63" s="35">
        <f>AVERAGE(AN61:AN62)*'Fixed data'!$C$3</f>
        <v>-1.9048168116444462E-2</v>
      </c>
      <c r="AO63" s="35">
        <f>AVERAGE(AO61:AO62)*'Fixed data'!$C$3</f>
        <v>-1.7530850406222244E-2</v>
      </c>
      <c r="AP63" s="35">
        <f>AVERAGE(AP61:AP62)*'Fixed data'!$C$3</f>
        <v>-1.6013532696000018E-2</v>
      </c>
      <c r="AQ63" s="35">
        <f>AVERAGE(AQ61:AQ62)*'Fixed data'!$C$3</f>
        <v>-1.44962149857778E-2</v>
      </c>
      <c r="AR63" s="35">
        <f>AVERAGE(AR61:AR62)*'Fixed data'!$C$3</f>
        <v>-1.2978897275555576E-2</v>
      </c>
      <c r="AS63" s="35">
        <f>AVERAGE(AS61:AS62)*'Fixed data'!$C$3</f>
        <v>-1.1461579565333358E-2</v>
      </c>
      <c r="AT63" s="35">
        <f>AVERAGE(AT61:AT62)*'Fixed data'!$C$3</f>
        <v>-9.9442618551111341E-3</v>
      </c>
      <c r="AU63" s="35">
        <f>AVERAGE(AU61:AU62)*'Fixed data'!$C$3</f>
        <v>-8.4269441448889121E-3</v>
      </c>
      <c r="AV63" s="35">
        <f>AVERAGE(AV61:AV62)*'Fixed data'!$C$3</f>
        <v>-6.9096264346666892E-3</v>
      </c>
      <c r="AW63" s="35">
        <f>AVERAGE(AW61:AW62)*'Fixed data'!$C$3</f>
        <v>-5.3923087244444681E-3</v>
      </c>
      <c r="AX63" s="35">
        <f>AVERAGE(AX61:AX62)*'Fixed data'!$C$3</f>
        <v>-3.8749910142222448E-3</v>
      </c>
      <c r="AY63" s="35">
        <f>AVERAGE(AY61:AY62)*'Fixed data'!$C$3</f>
        <v>-2.4374449928889113E-3</v>
      </c>
      <c r="AZ63" s="35">
        <f>AVERAGE(AZ61:AZ62)*'Fixed data'!$C$3</f>
        <v>-1.3218908826666891E-3</v>
      </c>
      <c r="BA63" s="35">
        <f>AVERAGE(BA61:BA62)*'Fixed data'!$C$3</f>
        <v>-5.9429920355557827E-4</v>
      </c>
      <c r="BB63" s="35">
        <f>AVERAGE(BB61:BB62)*'Fixed data'!$C$3</f>
        <v>-1.5168723422224505E-4</v>
      </c>
      <c r="BC63" s="35">
        <f>AVERAGE(BC61:BC62)*'Fixed data'!$C$3</f>
        <v>-2.2828960943854782E-17</v>
      </c>
      <c r="BD63" s="35">
        <f>AVERAGE(BD61:BD62)*'Fixed data'!$C$3</f>
        <v>-2.2828960943854782E-17</v>
      </c>
    </row>
    <row r="64" spans="1:56" ht="15.75" thickBot="1" x14ac:dyDescent="0.35">
      <c r="A64" s="113"/>
      <c r="B64" s="12" t="s">
        <v>92</v>
      </c>
      <c r="C64" s="12" t="s">
        <v>44</v>
      </c>
      <c r="D64" s="12" t="s">
        <v>39</v>
      </c>
      <c r="E64" s="53">
        <f t="shared" ref="E64:BD64" si="8">E29+E60+E63</f>
        <v>-8.0512426000000012E-2</v>
      </c>
      <c r="F64" s="53">
        <f t="shared" si="8"/>
        <v>-0.25555767475555552</v>
      </c>
      <c r="G64" s="53">
        <f t="shared" si="8"/>
        <v>-0.19169286166666669</v>
      </c>
      <c r="H64" s="53">
        <f t="shared" si="8"/>
        <v>-0.20474193602000001</v>
      </c>
      <c r="I64" s="53">
        <f t="shared" si="8"/>
        <v>-0.23572581840355555</v>
      </c>
      <c r="J64" s="53">
        <f t="shared" si="8"/>
        <v>-0.10250064217866664</v>
      </c>
      <c r="K64" s="53">
        <f t="shared" si="8"/>
        <v>-0.10098332446844444</v>
      </c>
      <c r="L64" s="53">
        <f t="shared" si="8"/>
        <v>-9.9466006758222203E-2</v>
      </c>
      <c r="M64" s="53">
        <f t="shared" si="8"/>
        <v>-9.7948689047999998E-2</v>
      </c>
      <c r="N64" s="53">
        <f t="shared" si="8"/>
        <v>-9.6431371337777766E-2</v>
      </c>
      <c r="O64" s="53">
        <f t="shared" si="8"/>
        <v>-9.4914053627555561E-2</v>
      </c>
      <c r="P64" s="53">
        <f t="shared" si="8"/>
        <v>-9.3396735917333329E-2</v>
      </c>
      <c r="Q64" s="53">
        <f t="shared" si="8"/>
        <v>-9.1879418207111124E-2</v>
      </c>
      <c r="R64" s="53">
        <f t="shared" si="8"/>
        <v>-9.0362100496888892E-2</v>
      </c>
      <c r="S64" s="53">
        <f t="shared" si="8"/>
        <v>-8.8844782786666687E-2</v>
      </c>
      <c r="T64" s="53">
        <f t="shared" si="8"/>
        <v>-8.7327465076444455E-2</v>
      </c>
      <c r="U64" s="53">
        <f t="shared" si="8"/>
        <v>-8.581014736622225E-2</v>
      </c>
      <c r="V64" s="53">
        <f t="shared" si="8"/>
        <v>-8.4292829656000018E-2</v>
      </c>
      <c r="W64" s="53">
        <f t="shared" si="8"/>
        <v>-8.2775511945777799E-2</v>
      </c>
      <c r="X64" s="53">
        <f t="shared" si="8"/>
        <v>-8.1258194235555581E-2</v>
      </c>
      <c r="Y64" s="53">
        <f t="shared" si="8"/>
        <v>-7.9740876525333362E-2</v>
      </c>
      <c r="Z64" s="53">
        <f t="shared" si="8"/>
        <v>-7.8223558815111144E-2</v>
      </c>
      <c r="AA64" s="53">
        <f t="shared" si="8"/>
        <v>-7.6706241104888911E-2</v>
      </c>
      <c r="AB64" s="53">
        <f t="shared" si="8"/>
        <v>-7.5188923394666707E-2</v>
      </c>
      <c r="AC64" s="53">
        <f t="shared" si="8"/>
        <v>-7.3671605684444474E-2</v>
      </c>
      <c r="AD64" s="53">
        <f t="shared" si="8"/>
        <v>-7.2154287974222242E-2</v>
      </c>
      <c r="AE64" s="53">
        <f t="shared" si="8"/>
        <v>-7.0636970264000024E-2</v>
      </c>
      <c r="AF64" s="53">
        <f t="shared" si="8"/>
        <v>-6.9119652553777805E-2</v>
      </c>
      <c r="AG64" s="53">
        <f t="shared" si="8"/>
        <v>-6.7602334843555573E-2</v>
      </c>
      <c r="AH64" s="53">
        <f t="shared" si="8"/>
        <v>-6.6085017133333354E-2</v>
      </c>
      <c r="AI64" s="53">
        <f t="shared" si="8"/>
        <v>-6.4567699423111136E-2</v>
      </c>
      <c r="AJ64" s="53">
        <f t="shared" si="8"/>
        <v>-6.3050381712888903E-2</v>
      </c>
      <c r="AK64" s="53">
        <f t="shared" si="8"/>
        <v>-6.1533064002666685E-2</v>
      </c>
      <c r="AL64" s="53">
        <f t="shared" si="8"/>
        <v>-6.0015746292444466E-2</v>
      </c>
      <c r="AM64" s="53">
        <f t="shared" si="8"/>
        <v>-5.8498428582222234E-2</v>
      </c>
      <c r="AN64" s="53">
        <f t="shared" si="8"/>
        <v>-5.6981110872000015E-2</v>
      </c>
      <c r="AO64" s="53">
        <f t="shared" si="8"/>
        <v>-5.5463793161777797E-2</v>
      </c>
      <c r="AP64" s="53">
        <f t="shared" si="8"/>
        <v>-5.3946475451555571E-2</v>
      </c>
      <c r="AQ64" s="53">
        <f t="shared" si="8"/>
        <v>-5.2429157741333353E-2</v>
      </c>
      <c r="AR64" s="53">
        <f t="shared" si="8"/>
        <v>-5.0911840031111127E-2</v>
      </c>
      <c r="AS64" s="53">
        <f t="shared" si="8"/>
        <v>-4.9394522320888909E-2</v>
      </c>
      <c r="AT64" s="53">
        <f t="shared" si="8"/>
        <v>-4.787720461066669E-2</v>
      </c>
      <c r="AU64" s="53">
        <f t="shared" si="8"/>
        <v>-4.6359886900444465E-2</v>
      </c>
      <c r="AV64" s="53">
        <f t="shared" si="8"/>
        <v>-4.484256919022224E-2</v>
      </c>
      <c r="AW64" s="53">
        <f t="shared" si="8"/>
        <v>-4.3325251480000021E-2</v>
      </c>
      <c r="AX64" s="53">
        <f t="shared" si="8"/>
        <v>-4.1807933769777796E-2</v>
      </c>
      <c r="AY64" s="53">
        <f t="shared" si="8"/>
        <v>-3.6381803304000024E-2</v>
      </c>
      <c r="AZ64" s="53">
        <f t="shared" si="8"/>
        <v>-2.3155238082666688E-2</v>
      </c>
      <c r="BA64" s="53">
        <f t="shared" si="8"/>
        <v>-1.5140535959111131E-2</v>
      </c>
      <c r="BB64" s="53">
        <f t="shared" si="8"/>
        <v>-7.7360489453333556E-3</v>
      </c>
      <c r="BC64" s="53">
        <f t="shared" si="8"/>
        <v>-2.2828960943854782E-17</v>
      </c>
      <c r="BD64" s="53">
        <f t="shared" si="8"/>
        <v>-2.2828960943854782E-17</v>
      </c>
    </row>
    <row r="65" spans="1:56" ht="12.75" customHeight="1" x14ac:dyDescent="0.3">
      <c r="A65" s="642"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43"/>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43"/>
      <c r="B67" s="9" t="s">
        <v>295</v>
      </c>
      <c r="C67" s="11"/>
      <c r="D67" s="11" t="s">
        <v>39</v>
      </c>
      <c r="E67" s="82"/>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43"/>
      <c r="B68" s="9" t="s">
        <v>296</v>
      </c>
      <c r="C68" s="9"/>
      <c r="D68" s="9" t="s">
        <v>39</v>
      </c>
      <c r="E68" s="82"/>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43"/>
      <c r="B69" s="4" t="s">
        <v>200</v>
      </c>
      <c r="D69" s="9" t="s">
        <v>39</v>
      </c>
      <c r="E69" s="35">
        <f>E90*'Fixed data'!H$5/1000000</f>
        <v>-4.6515941010882443E-4</v>
      </c>
      <c r="F69" s="35">
        <f>F90*'Fixed data'!I$5/1000000</f>
        <v>-6.8972470834096483E-4</v>
      </c>
      <c r="G69" s="35">
        <f>G90*'Fixed data'!J$5/1000000</f>
        <v>-1.4101250502982006E-3</v>
      </c>
      <c r="H69" s="35">
        <f>H90*'Fixed data'!K$5/1000000</f>
        <v>-1.026162105267544E-3</v>
      </c>
      <c r="I69" s="35">
        <f>I90*'Fixed data'!L$5/1000000</f>
        <v>-1.4782417258872062E-3</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4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4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43"/>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4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4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43"/>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44"/>
      <c r="B76" s="13" t="s">
        <v>98</v>
      </c>
      <c r="C76" s="13"/>
      <c r="D76" s="13" t="s">
        <v>39</v>
      </c>
      <c r="E76" s="53">
        <f>SUM(E65:E75)</f>
        <v>-4.6515941010882443E-4</v>
      </c>
      <c r="F76" s="53">
        <f t="shared" ref="F76:BD76" si="9">SUM(F65:F75)</f>
        <v>-6.8972470834096483E-4</v>
      </c>
      <c r="G76" s="53">
        <f t="shared" si="9"/>
        <v>-1.4101250502982006E-3</v>
      </c>
      <c r="H76" s="53">
        <f t="shared" si="9"/>
        <v>-1.026162105267544E-3</v>
      </c>
      <c r="I76" s="53">
        <f t="shared" si="9"/>
        <v>-1.4782417258872062E-3</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-8.097758541010884E-2</v>
      </c>
      <c r="F77" s="54">
        <f>IF('Fixed data'!$G$19=FALSE,F64+F76,F64)</f>
        <v>-0.25624739946389646</v>
      </c>
      <c r="G77" s="54">
        <f>IF('Fixed data'!$G$19=FALSE,G64+G76,G64)</f>
        <v>-0.19310298671696488</v>
      </c>
      <c r="H77" s="54">
        <f>IF('Fixed data'!$G$19=FALSE,H64+H76,H64)</f>
        <v>-0.20576809812526756</v>
      </c>
      <c r="I77" s="54">
        <f>IF('Fixed data'!$G$19=FALSE,I64+I76,I64)</f>
        <v>-0.23720406012944276</v>
      </c>
      <c r="J77" s="54">
        <f>IF('Fixed data'!$G$19=FALSE,J64+J76,J64)</f>
        <v>-0.10250064217866664</v>
      </c>
      <c r="K77" s="54">
        <f>IF('Fixed data'!$G$19=FALSE,K64+K76,K64)</f>
        <v>-0.10098332446844444</v>
      </c>
      <c r="L77" s="54">
        <f>IF('Fixed data'!$G$19=FALSE,L64+L76,L64)</f>
        <v>-9.9466006758222203E-2</v>
      </c>
      <c r="M77" s="54">
        <f>IF('Fixed data'!$G$19=FALSE,M64+M76,M64)</f>
        <v>-9.7948689047999998E-2</v>
      </c>
      <c r="N77" s="54">
        <f>IF('Fixed data'!$G$19=FALSE,N64+N76,N64)</f>
        <v>-9.6431371337777766E-2</v>
      </c>
      <c r="O77" s="54">
        <f>IF('Fixed data'!$G$19=FALSE,O64+O76,O64)</f>
        <v>-9.4914053627555561E-2</v>
      </c>
      <c r="P77" s="54">
        <f>IF('Fixed data'!$G$19=FALSE,P64+P76,P64)</f>
        <v>-9.3396735917333329E-2</v>
      </c>
      <c r="Q77" s="54">
        <f>IF('Fixed data'!$G$19=FALSE,Q64+Q76,Q64)</f>
        <v>-9.1879418207111124E-2</v>
      </c>
      <c r="R77" s="54">
        <f>IF('Fixed data'!$G$19=FALSE,R64+R76,R64)</f>
        <v>-9.0362100496888892E-2</v>
      </c>
      <c r="S77" s="54">
        <f>IF('Fixed data'!$G$19=FALSE,S64+S76,S64)</f>
        <v>-8.8844782786666687E-2</v>
      </c>
      <c r="T77" s="54">
        <f>IF('Fixed data'!$G$19=FALSE,T64+T76,T64)</f>
        <v>-8.7327465076444455E-2</v>
      </c>
      <c r="U77" s="54">
        <f>IF('Fixed data'!$G$19=FALSE,U64+U76,U64)</f>
        <v>-8.581014736622225E-2</v>
      </c>
      <c r="V77" s="54">
        <f>IF('Fixed data'!$G$19=FALSE,V64+V76,V64)</f>
        <v>-8.4292829656000018E-2</v>
      </c>
      <c r="W77" s="54">
        <f>IF('Fixed data'!$G$19=FALSE,W64+W76,W64)</f>
        <v>-8.2775511945777799E-2</v>
      </c>
      <c r="X77" s="54">
        <f>IF('Fixed data'!$G$19=FALSE,X64+X76,X64)</f>
        <v>-8.1258194235555581E-2</v>
      </c>
      <c r="Y77" s="54">
        <f>IF('Fixed data'!$G$19=FALSE,Y64+Y76,Y64)</f>
        <v>-7.9740876525333362E-2</v>
      </c>
      <c r="Z77" s="54">
        <f>IF('Fixed data'!$G$19=FALSE,Z64+Z76,Z64)</f>
        <v>-7.8223558815111144E-2</v>
      </c>
      <c r="AA77" s="54">
        <f>IF('Fixed data'!$G$19=FALSE,AA64+AA76,AA64)</f>
        <v>-7.6706241104888911E-2</v>
      </c>
      <c r="AB77" s="54">
        <f>IF('Fixed data'!$G$19=FALSE,AB64+AB76,AB64)</f>
        <v>-7.5188923394666707E-2</v>
      </c>
      <c r="AC77" s="54">
        <f>IF('Fixed data'!$G$19=FALSE,AC64+AC76,AC64)</f>
        <v>-7.3671605684444474E-2</v>
      </c>
      <c r="AD77" s="54">
        <f>IF('Fixed data'!$G$19=FALSE,AD64+AD76,AD64)</f>
        <v>-7.2154287974222242E-2</v>
      </c>
      <c r="AE77" s="54">
        <f>IF('Fixed data'!$G$19=FALSE,AE64+AE76,AE64)</f>
        <v>-7.0636970264000024E-2</v>
      </c>
      <c r="AF77" s="54">
        <f>IF('Fixed data'!$G$19=FALSE,AF64+AF76,AF64)</f>
        <v>-6.9119652553777805E-2</v>
      </c>
      <c r="AG77" s="54">
        <f>IF('Fixed data'!$G$19=FALSE,AG64+AG76,AG64)</f>
        <v>-6.7602334843555573E-2</v>
      </c>
      <c r="AH77" s="54">
        <f>IF('Fixed data'!$G$19=FALSE,AH64+AH76,AH64)</f>
        <v>-6.6085017133333354E-2</v>
      </c>
      <c r="AI77" s="54">
        <f>IF('Fixed data'!$G$19=FALSE,AI64+AI76,AI64)</f>
        <v>-6.4567699423111136E-2</v>
      </c>
      <c r="AJ77" s="54">
        <f>IF('Fixed data'!$G$19=FALSE,AJ64+AJ76,AJ64)</f>
        <v>-6.3050381712888903E-2</v>
      </c>
      <c r="AK77" s="54">
        <f>IF('Fixed data'!$G$19=FALSE,AK64+AK76,AK64)</f>
        <v>-6.1533064002666685E-2</v>
      </c>
      <c r="AL77" s="54">
        <f>IF('Fixed data'!$G$19=FALSE,AL64+AL76,AL64)</f>
        <v>-6.0015746292444466E-2</v>
      </c>
      <c r="AM77" s="54">
        <f>IF('Fixed data'!$G$19=FALSE,AM64+AM76,AM64)</f>
        <v>-5.8498428582222234E-2</v>
      </c>
      <c r="AN77" s="54">
        <f>IF('Fixed data'!$G$19=FALSE,AN64+AN76,AN64)</f>
        <v>-5.6981110872000015E-2</v>
      </c>
      <c r="AO77" s="54">
        <f>IF('Fixed data'!$G$19=FALSE,AO64+AO76,AO64)</f>
        <v>-5.5463793161777797E-2</v>
      </c>
      <c r="AP77" s="54">
        <f>IF('Fixed data'!$G$19=FALSE,AP64+AP76,AP64)</f>
        <v>-5.3946475451555571E-2</v>
      </c>
      <c r="AQ77" s="54">
        <f>IF('Fixed data'!$G$19=FALSE,AQ64+AQ76,AQ64)</f>
        <v>-5.2429157741333353E-2</v>
      </c>
      <c r="AR77" s="54">
        <f>IF('Fixed data'!$G$19=FALSE,AR64+AR76,AR64)</f>
        <v>-5.0911840031111127E-2</v>
      </c>
      <c r="AS77" s="54">
        <f>IF('Fixed data'!$G$19=FALSE,AS64+AS76,AS64)</f>
        <v>-4.9394522320888909E-2</v>
      </c>
      <c r="AT77" s="54">
        <f>IF('Fixed data'!$G$19=FALSE,AT64+AT76,AT64)</f>
        <v>-4.787720461066669E-2</v>
      </c>
      <c r="AU77" s="54">
        <f>IF('Fixed data'!$G$19=FALSE,AU64+AU76,AU64)</f>
        <v>-4.6359886900444465E-2</v>
      </c>
      <c r="AV77" s="54">
        <f>IF('Fixed data'!$G$19=FALSE,AV64+AV76,AV64)</f>
        <v>-4.484256919022224E-2</v>
      </c>
      <c r="AW77" s="54">
        <f>IF('Fixed data'!$G$19=FALSE,AW64+AW76,AW64)</f>
        <v>-4.3325251480000021E-2</v>
      </c>
      <c r="AX77" s="54">
        <f>IF('Fixed data'!$G$19=FALSE,AX64+AX76,AX64)</f>
        <v>-4.1807933769777796E-2</v>
      </c>
      <c r="AY77" s="54">
        <f>IF('Fixed data'!$G$19=FALSE,AY64+AY76,AY64)</f>
        <v>-3.6381803304000024E-2</v>
      </c>
      <c r="AZ77" s="54">
        <f>IF('Fixed data'!$G$19=FALSE,AZ64+AZ76,AZ64)</f>
        <v>-2.3155238082666688E-2</v>
      </c>
      <c r="BA77" s="54">
        <f>IF('Fixed data'!$G$19=FALSE,BA64+BA76,BA64)</f>
        <v>-1.5140535959111131E-2</v>
      </c>
      <c r="BB77" s="54">
        <f>IF('Fixed data'!$G$19=FALSE,BB64+BB76,BB64)</f>
        <v>-7.7360489453333556E-3</v>
      </c>
      <c r="BC77" s="54">
        <f>IF('Fixed data'!$G$19=FALSE,BC64+BC76,BC64)</f>
        <v>-2.2828960943854782E-17</v>
      </c>
      <c r="BD77" s="54">
        <f>IF('Fixed data'!$G$19=FALSE,BD64+BD76,BD64)</f>
        <v>-2.2828960943854782E-17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-7.8239212956626905E-2</v>
      </c>
      <c r="F80" s="55">
        <f t="shared" ref="F80:BD80" si="10">F77*F78</f>
        <v>-0.23920968934061143</v>
      </c>
      <c r="G80" s="55">
        <f t="shared" si="10"/>
        <v>-0.1741678303120755</v>
      </c>
      <c r="H80" s="55">
        <f t="shared" si="10"/>
        <v>-0.17931500981958159</v>
      </c>
      <c r="I80" s="55">
        <f t="shared" si="10"/>
        <v>-0.19971945369888672</v>
      </c>
      <c r="J80" s="55">
        <f t="shared" si="10"/>
        <v>-8.3384338454303736E-2</v>
      </c>
      <c r="K80" s="55">
        <f t="shared" si="10"/>
        <v>-7.9371980211998455E-2</v>
      </c>
      <c r="L80" s="55">
        <f t="shared" si="10"/>
        <v>-7.5535634982877617E-2</v>
      </c>
      <c r="M80" s="55">
        <f t="shared" si="10"/>
        <v>-7.1867986839887252E-2</v>
      </c>
      <c r="N80" s="55">
        <f t="shared" si="10"/>
        <v>-6.8362013373183941E-2</v>
      </c>
      <c r="O80" s="55">
        <f t="shared" si="10"/>
        <v>-6.501097420486221E-2</v>
      </c>
      <c r="P80" s="55">
        <f t="shared" si="10"/>
        <v>-6.1808399944811604E-2</v>
      </c>
      <c r="Q80" s="55">
        <f t="shared" si="10"/>
        <v>-5.8748081571003155E-2</v>
      </c>
      <c r="R80" s="55">
        <f t="shared" si="10"/>
        <v>-5.5824060218128663E-2</v>
      </c>
      <c r="S80" s="55">
        <f t="shared" si="10"/>
        <v>-5.3030617359119903E-2</v>
      </c>
      <c r="T80" s="55">
        <f t="shared" si="10"/>
        <v>-5.0362265364652159E-2</v>
      </c>
      <c r="U80" s="55">
        <f t="shared" si="10"/>
        <v>-4.7813738426297082E-2</v>
      </c>
      <c r="V80" s="55">
        <f t="shared" si="10"/>
        <v>-4.5379983829524864E-2</v>
      </c>
      <c r="W80" s="55">
        <f t="shared" si="10"/>
        <v>-4.3056153563275135E-2</v>
      </c>
      <c r="X80" s="55">
        <f t="shared" si="10"/>
        <v>-4.0837596253312472E-2</v>
      </c>
      <c r="Y80" s="55">
        <f t="shared" si="10"/>
        <v>-3.8719849407063585E-2</v>
      </c>
      <c r="Z80" s="55">
        <f t="shared" si="10"/>
        <v>-3.6698631958093905E-2</v>
      </c>
      <c r="AA80" s="55">
        <f t="shared" si="10"/>
        <v>-3.4769837098826854E-2</v>
      </c>
      <c r="AB80" s="55">
        <f t="shared" si="10"/>
        <v>-3.2929525390536722E-2</v>
      </c>
      <c r="AC80" s="55">
        <f t="shared" si="10"/>
        <v>-3.1173918140058474E-2</v>
      </c>
      <c r="AD80" s="55">
        <f t="shared" si="10"/>
        <v>-2.9499391033054979E-2</v>
      </c>
      <c r="AE80" s="55">
        <f t="shared" si="10"/>
        <v>-2.7902468014063653E-2</v>
      </c>
      <c r="AF80" s="55">
        <f t="shared" si="10"/>
        <v>-2.6379815403913077E-2</v>
      </c>
      <c r="AG80" s="55">
        <f t="shared" si="10"/>
        <v>-2.4928236245453959E-2</v>
      </c>
      <c r="AH80" s="55">
        <f t="shared" si="10"/>
        <v>-2.3544664868889929E-2</v>
      </c>
      <c r="AI80" s="55">
        <f t="shared" si="10"/>
        <v>-2.5826249761868585E-2</v>
      </c>
      <c r="AJ80" s="55">
        <f t="shared" si="10"/>
        <v>-2.4484798235586854E-2</v>
      </c>
      <c r="AK80" s="55">
        <f t="shared" si="10"/>
        <v>-2.3199580171024917E-2</v>
      </c>
      <c r="AL80" s="55">
        <f t="shared" si="10"/>
        <v>-2.1968457834597496E-2</v>
      </c>
      <c r="AM80" s="55">
        <f t="shared" si="10"/>
        <v>-2.0789370316001421E-2</v>
      </c>
      <c r="AN80" s="55">
        <f t="shared" si="10"/>
        <v>-1.9660330866590102E-2</v>
      </c>
      <c r="AO80" s="55">
        <f t="shared" si="10"/>
        <v>-1.8579424327622013E-2</v>
      </c>
      <c r="AP80" s="55">
        <f t="shared" si="10"/>
        <v>-1.7544804645406017E-2</v>
      </c>
      <c r="AQ80" s="55">
        <f t="shared" si="10"/>
        <v>-1.6554692470463171E-2</v>
      </c>
      <c r="AR80" s="55">
        <f t="shared" si="10"/>
        <v>-1.5607372837918859E-2</v>
      </c>
      <c r="AS80" s="55">
        <f t="shared" si="10"/>
        <v>-1.4701192926430086E-2</v>
      </c>
      <c r="AT80" s="55">
        <f t="shared" si="10"/>
        <v>-1.3834559893040926E-2</v>
      </c>
      <c r="AU80" s="55">
        <f t="shared" si="10"/>
        <v>-1.3005938781444265E-2</v>
      </c>
      <c r="AV80" s="55">
        <f t="shared" si="10"/>
        <v>-1.2213850501210538E-2</v>
      </c>
      <c r="AW80" s="55">
        <f t="shared" si="10"/>
        <v>-1.1456869875623946E-2</v>
      </c>
      <c r="AX80" s="55">
        <f t="shared" si="10"/>
        <v>-1.0733623755843896E-2</v>
      </c>
      <c r="AY80" s="55">
        <f t="shared" si="10"/>
        <v>-9.0684833592064081E-3</v>
      </c>
      <c r="AZ80" s="55">
        <f t="shared" si="10"/>
        <v>-5.6035398516928016E-3</v>
      </c>
      <c r="BA80" s="55">
        <f t="shared" si="10"/>
        <v>-3.5572733474071401E-3</v>
      </c>
      <c r="BB80" s="55">
        <f t="shared" si="10"/>
        <v>-1.7646475340305978E-3</v>
      </c>
      <c r="BC80" s="55">
        <f t="shared" si="10"/>
        <v>-5.0557743840165627E-18</v>
      </c>
      <c r="BD80" s="55">
        <f t="shared" si="10"/>
        <v>-4.9085188194335565E-18</v>
      </c>
    </row>
    <row r="81" spans="1:56" x14ac:dyDescent="0.3">
      <c r="A81" s="75"/>
      <c r="B81" s="15" t="s">
        <v>18</v>
      </c>
      <c r="C81" s="15"/>
      <c r="D81" s="14" t="s">
        <v>39</v>
      </c>
      <c r="E81" s="56">
        <f>+E80</f>
        <v>-7.8239212956626905E-2</v>
      </c>
      <c r="F81" s="56">
        <f t="shared" ref="F81:BD81" si="11">+E81+F80</f>
        <v>-0.31744890229723832</v>
      </c>
      <c r="G81" s="56">
        <f t="shared" si="11"/>
        <v>-0.49161673260931382</v>
      </c>
      <c r="H81" s="56">
        <f t="shared" si="11"/>
        <v>-0.67093174242889542</v>
      </c>
      <c r="I81" s="56">
        <f t="shared" si="11"/>
        <v>-0.87065119612778208</v>
      </c>
      <c r="J81" s="56">
        <f t="shared" si="11"/>
        <v>-0.95403553458208579</v>
      </c>
      <c r="K81" s="56">
        <f t="shared" si="11"/>
        <v>-1.0334075147940842</v>
      </c>
      <c r="L81" s="56">
        <f t="shared" si="11"/>
        <v>-1.1089431497769617</v>
      </c>
      <c r="M81" s="56">
        <f t="shared" si="11"/>
        <v>-1.180811136616849</v>
      </c>
      <c r="N81" s="56">
        <f t="shared" si="11"/>
        <v>-1.2491731499900329</v>
      </c>
      <c r="O81" s="56">
        <f t="shared" si="11"/>
        <v>-1.3141841241948951</v>
      </c>
      <c r="P81" s="56">
        <f t="shared" si="11"/>
        <v>-1.3759925241397066</v>
      </c>
      <c r="Q81" s="56">
        <f t="shared" si="11"/>
        <v>-1.4347406057107097</v>
      </c>
      <c r="R81" s="56">
        <f t="shared" si="11"/>
        <v>-1.4905646659288383</v>
      </c>
      <c r="S81" s="56">
        <f t="shared" si="11"/>
        <v>-1.5435952832879583</v>
      </c>
      <c r="T81" s="56">
        <f t="shared" si="11"/>
        <v>-1.5939575486526105</v>
      </c>
      <c r="U81" s="56">
        <f t="shared" si="11"/>
        <v>-1.6417712870789076</v>
      </c>
      <c r="V81" s="56">
        <f t="shared" si="11"/>
        <v>-1.6871512709084324</v>
      </c>
      <c r="W81" s="56">
        <f t="shared" si="11"/>
        <v>-1.7302074244717076</v>
      </c>
      <c r="X81" s="56">
        <f t="shared" si="11"/>
        <v>-1.7710450207250201</v>
      </c>
      <c r="Y81" s="56">
        <f t="shared" si="11"/>
        <v>-1.8097648701320836</v>
      </c>
      <c r="Z81" s="56">
        <f t="shared" si="11"/>
        <v>-1.8464635020901776</v>
      </c>
      <c r="AA81" s="56">
        <f t="shared" si="11"/>
        <v>-1.8812333391890044</v>
      </c>
      <c r="AB81" s="56">
        <f t="shared" si="11"/>
        <v>-1.914162864579541</v>
      </c>
      <c r="AC81" s="56">
        <f t="shared" si="11"/>
        <v>-1.9453367827195995</v>
      </c>
      <c r="AD81" s="56">
        <f t="shared" si="11"/>
        <v>-1.9748361737526545</v>
      </c>
      <c r="AE81" s="56">
        <f t="shared" si="11"/>
        <v>-2.0027386417667183</v>
      </c>
      <c r="AF81" s="56">
        <f t="shared" si="11"/>
        <v>-2.0291184571706316</v>
      </c>
      <c r="AG81" s="56">
        <f t="shared" si="11"/>
        <v>-2.0540466934160855</v>
      </c>
      <c r="AH81" s="56">
        <f t="shared" si="11"/>
        <v>-2.0775913582849754</v>
      </c>
      <c r="AI81" s="56">
        <f t="shared" si="11"/>
        <v>-2.1034176080468439</v>
      </c>
      <c r="AJ81" s="56">
        <f t="shared" si="11"/>
        <v>-2.1279024062824305</v>
      </c>
      <c r="AK81" s="56">
        <f t="shared" si="11"/>
        <v>-2.1511019864534555</v>
      </c>
      <c r="AL81" s="56">
        <f t="shared" si="11"/>
        <v>-2.1730704442880531</v>
      </c>
      <c r="AM81" s="56">
        <f t="shared" si="11"/>
        <v>-2.1938598146040547</v>
      </c>
      <c r="AN81" s="56">
        <f t="shared" si="11"/>
        <v>-2.2135201454706448</v>
      </c>
      <c r="AO81" s="56">
        <f t="shared" si="11"/>
        <v>-2.2320995697982666</v>
      </c>
      <c r="AP81" s="56">
        <f t="shared" si="11"/>
        <v>-2.2496443744436725</v>
      </c>
      <c r="AQ81" s="56">
        <f t="shared" si="11"/>
        <v>-2.2661990669141359</v>
      </c>
      <c r="AR81" s="56">
        <f t="shared" si="11"/>
        <v>-2.2818064397520548</v>
      </c>
      <c r="AS81" s="56">
        <f t="shared" si="11"/>
        <v>-2.2965076326784848</v>
      </c>
      <c r="AT81" s="56">
        <f t="shared" si="11"/>
        <v>-2.3103421925715257</v>
      </c>
      <c r="AU81" s="56">
        <f t="shared" si="11"/>
        <v>-2.32334813135297</v>
      </c>
      <c r="AV81" s="56">
        <f t="shared" si="11"/>
        <v>-2.3355619818541804</v>
      </c>
      <c r="AW81" s="56">
        <f t="shared" si="11"/>
        <v>-2.3470188517298043</v>
      </c>
      <c r="AX81" s="56">
        <f t="shared" si="11"/>
        <v>-2.3577524754856483</v>
      </c>
      <c r="AY81" s="56">
        <f t="shared" si="11"/>
        <v>-2.3668209588448548</v>
      </c>
      <c r="AZ81" s="56">
        <f t="shared" si="11"/>
        <v>-2.3724244986965477</v>
      </c>
      <c r="BA81" s="56">
        <f t="shared" si="11"/>
        <v>-2.3759817720439549</v>
      </c>
      <c r="BB81" s="56">
        <f t="shared" si="11"/>
        <v>-2.3777464195779854</v>
      </c>
      <c r="BC81" s="56">
        <f t="shared" si="11"/>
        <v>-2.3777464195779854</v>
      </c>
      <c r="BD81" s="56">
        <f t="shared" si="11"/>
        <v>-2.3777464195779854</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45"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45"/>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45"/>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45"/>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45"/>
      <c r="B90" s="4" t="s">
        <v>325</v>
      </c>
      <c r="D90" s="4" t="s">
        <v>87</v>
      </c>
      <c r="E90" s="38">
        <f>-'Workings template 2015.16'!D51</f>
        <v>-63.692132000000008</v>
      </c>
      <c r="F90" s="38">
        <f>-'Workings template 2016.17'!E81</f>
        <v>-89.918304000000006</v>
      </c>
      <c r="G90" s="38">
        <f>-'Workings template 2017.18'!E83</f>
        <v>-172.87864400000001</v>
      </c>
      <c r="H90" s="38">
        <f>-'Working template 2018.19'!E88</f>
        <v>-118.28538800000001</v>
      </c>
      <c r="I90" s="38">
        <f>-'Working template 2019.20'!E88</f>
        <v>-160.03317200000001</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45"/>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45"/>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45"/>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xr:uid="{00000000-0002-0000-0800-000000000000}">
      <formula1>$B$170:$B$214</formula1>
    </dataValidation>
    <dataValidation type="list" allowBlank="1" showInputMessage="1" showErrorMessage="1" sqref="B15:B24" xr:uid="{00000000-0002-0000-0800-000001000000}">
      <formula1>$B$170:$B$216</formula1>
    </dataValidation>
  </dataValidations>
  <hyperlinks>
    <hyperlink ref="B97" r:id="rId1" xr:uid="{00000000-0004-0000-0800-000000000000}"/>
    <hyperlink ref="B100" r:id="rId2" xr:uid="{00000000-0004-0000-08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AN63"/>
  <sheetViews>
    <sheetView topLeftCell="A4" zoomScale="70" zoomScaleNormal="70" workbookViewId="0">
      <selection activeCell="C50" sqref="C50"/>
    </sheetView>
  </sheetViews>
  <sheetFormatPr defaultRowHeight="15" x14ac:dyDescent="0.25"/>
  <cols>
    <col min="1" max="1" width="10.85546875" bestFit="1" customWidth="1"/>
    <col min="2" max="2" width="26" bestFit="1" customWidth="1"/>
    <col min="3" max="3" width="18.140625"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6.4257812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447</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623" t="s">
        <v>353</v>
      </c>
      <c r="B6" s="624"/>
      <c r="C6" s="624"/>
      <c r="D6" s="624"/>
      <c r="E6" s="624"/>
      <c r="F6" s="624"/>
      <c r="G6" s="624"/>
      <c r="H6" s="624"/>
      <c r="I6" s="625"/>
      <c r="J6" s="626" t="s">
        <v>354</v>
      </c>
      <c r="K6" s="627"/>
      <c r="L6" s="627"/>
      <c r="M6" s="627"/>
      <c r="N6" s="627"/>
      <c r="O6" s="627"/>
      <c r="P6" s="627"/>
      <c r="Q6" s="627"/>
      <c r="R6" s="627"/>
      <c r="S6" s="627"/>
      <c r="T6" s="627"/>
      <c r="U6" s="627"/>
      <c r="V6" s="627"/>
      <c r="W6" s="627"/>
      <c r="X6" s="627"/>
      <c r="Y6" s="628"/>
      <c r="Z6" s="629" t="s">
        <v>355</v>
      </c>
      <c r="AA6" s="629"/>
      <c r="AB6" s="629"/>
      <c r="AC6" s="629"/>
      <c r="AD6" s="629"/>
      <c r="AE6" s="629"/>
      <c r="AF6" s="629"/>
      <c r="AG6" s="629"/>
      <c r="AH6" s="629"/>
      <c r="AI6" s="629"/>
      <c r="AJ6" s="200"/>
      <c r="AK6" s="200"/>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ht="15.75" thickBot="1" x14ac:dyDescent="0.3">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B30" s="202" t="s">
        <v>452</v>
      </c>
      <c r="C30" s="203"/>
      <c r="D30" s="214">
        <v>200</v>
      </c>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B31" s="204" t="s">
        <v>451</v>
      </c>
      <c r="C31" s="129"/>
      <c r="D31" s="205">
        <f>SUM(F8:F20)</f>
        <v>119</v>
      </c>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B32" s="204" t="s">
        <v>450</v>
      </c>
      <c r="C32" s="129"/>
      <c r="D32" s="205">
        <f>D30*D31</f>
        <v>23800</v>
      </c>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1:40" x14ac:dyDescent="0.25">
      <c r="B33" s="204" t="s">
        <v>444</v>
      </c>
      <c r="C33" s="129"/>
      <c r="D33" s="205">
        <v>2.6761400000000002</v>
      </c>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1:40" x14ac:dyDescent="0.25">
      <c r="B34" s="204" t="s">
        <v>453</v>
      </c>
      <c r="C34" s="129"/>
      <c r="D34" s="205">
        <f>D32*D33</f>
        <v>63692.132000000005</v>
      </c>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1:40" ht="15.75" thickBot="1" x14ac:dyDescent="0.3">
      <c r="B35" s="206" t="s">
        <v>454</v>
      </c>
      <c r="C35" s="207"/>
      <c r="D35" s="215">
        <f>D34/1000</f>
        <v>63.692132000000008</v>
      </c>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1:40" x14ac:dyDescent="0.25">
      <c r="B36" s="216"/>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1: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1:40" x14ac:dyDescent="0.25">
      <c r="G38" s="137"/>
      <c r="H38" s="137"/>
      <c r="I38" s="137"/>
      <c r="AE38" s="140"/>
      <c r="AF38" s="140"/>
      <c r="AG38" s="140"/>
      <c r="AH38" s="140"/>
      <c r="AI38" s="141"/>
      <c r="AJ38" s="141"/>
      <c r="AK38" s="141"/>
      <c r="AL38" s="141"/>
      <c r="AM38" s="180"/>
      <c r="AN38" s="140"/>
    </row>
    <row r="39" spans="1:40" x14ac:dyDescent="0.25">
      <c r="G39" s="137"/>
      <c r="H39" s="137"/>
      <c r="I39" s="137"/>
      <c r="AE39" s="140"/>
      <c r="AF39" s="140"/>
      <c r="AG39" s="140"/>
      <c r="AH39" s="140"/>
      <c r="AI39" s="141"/>
      <c r="AJ39" s="141"/>
      <c r="AK39" s="141"/>
      <c r="AL39" s="141"/>
      <c r="AM39" s="180"/>
      <c r="AN39" s="140"/>
    </row>
    <row r="40" spans="1: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1: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1: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1: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1: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1:40" x14ac:dyDescent="0.25">
      <c r="G45" s="137"/>
      <c r="H45" s="137"/>
      <c r="I45" s="137"/>
      <c r="AC45" s="185" t="s">
        <v>434</v>
      </c>
      <c r="AD45" s="185"/>
      <c r="AE45" s="198">
        <f>SUM(AH8:AH19)</f>
        <v>21166.800000000003</v>
      </c>
      <c r="AF45" s="140"/>
      <c r="AG45" s="140"/>
      <c r="AH45" s="140"/>
      <c r="AI45" s="141"/>
      <c r="AJ45" s="141"/>
      <c r="AK45" s="141"/>
      <c r="AL45" s="141"/>
      <c r="AM45" s="180"/>
      <c r="AN45" s="140"/>
    </row>
    <row r="46" spans="1:40" x14ac:dyDescent="0.25">
      <c r="G46" s="137"/>
      <c r="H46" s="137"/>
      <c r="I46" s="137"/>
      <c r="AE46" s="140"/>
      <c r="AF46" s="140"/>
      <c r="AG46" s="140"/>
      <c r="AH46" s="140"/>
      <c r="AI46" s="141"/>
      <c r="AJ46" s="141"/>
      <c r="AK46" s="141"/>
      <c r="AL46" s="141"/>
      <c r="AM46" s="180"/>
      <c r="AN46" s="140"/>
    </row>
    <row r="47" spans="1:40" x14ac:dyDescent="0.25">
      <c r="A47" s="129"/>
      <c r="B47" s="129"/>
      <c r="C47" s="129"/>
      <c r="D47" s="129"/>
      <c r="E47" s="129"/>
      <c r="M47" s="183" t="s">
        <v>428</v>
      </c>
      <c r="N47" s="183"/>
      <c r="O47" s="183"/>
      <c r="P47" s="199">
        <f>SUM(W8:W19)</f>
        <v>3473.272727272727</v>
      </c>
      <c r="AC47" s="185" t="s">
        <v>439</v>
      </c>
      <c r="AD47" s="185"/>
      <c r="AE47" s="186">
        <f>SUM(AJ8:AJ19)</f>
        <v>56383.877500000002</v>
      </c>
    </row>
    <row r="48" spans="1:40" x14ac:dyDescent="0.25">
      <c r="A48" s="129"/>
      <c r="B48" s="129"/>
      <c r="C48" s="129"/>
      <c r="D48" s="129" t="s">
        <v>449</v>
      </c>
      <c r="E48" s="129"/>
      <c r="M48" s="183" t="s">
        <v>426</v>
      </c>
      <c r="N48" s="183"/>
      <c r="O48" s="183"/>
      <c r="P48" s="199">
        <f>SUM(X8:X19)</f>
        <v>13893.090909090908</v>
      </c>
      <c r="AC48" s="185" t="s">
        <v>440</v>
      </c>
      <c r="AD48" s="185"/>
      <c r="AE48" s="186">
        <f>SUM(AK8:AK19)</f>
        <v>155847.84</v>
      </c>
    </row>
    <row r="49" spans="1:18" x14ac:dyDescent="0.25">
      <c r="A49" s="129"/>
      <c r="B49" s="216" t="s">
        <v>456</v>
      </c>
      <c r="C49">
        <f>D32*0.5</f>
        <v>11900</v>
      </c>
      <c r="D49" s="168">
        <f>C49/1000000</f>
        <v>1.1900000000000001E-2</v>
      </c>
      <c r="E49" s="129" t="s">
        <v>458</v>
      </c>
    </row>
    <row r="50" spans="1:18" x14ac:dyDescent="0.25">
      <c r="A50" s="129"/>
      <c r="B50" s="129" t="s">
        <v>448</v>
      </c>
      <c r="C50" s="212">
        <f>I37+C49</f>
        <v>256409</v>
      </c>
      <c r="D50" s="213">
        <f>C50/1000000</f>
        <v>0.256409</v>
      </c>
      <c r="E50" s="129"/>
      <c r="M50" s="183" t="s">
        <v>427</v>
      </c>
      <c r="N50" s="183"/>
      <c r="O50" s="183"/>
      <c r="P50" s="195">
        <f>SUM(N8:O19)+SUM(S8:S19)</f>
        <v>715769.11931550805</v>
      </c>
    </row>
    <row r="51" spans="1:18" x14ac:dyDescent="0.25">
      <c r="A51" s="129"/>
      <c r="B51" s="129" t="s">
        <v>455</v>
      </c>
      <c r="C51" s="129">
        <f>D34</f>
        <v>63692.132000000005</v>
      </c>
      <c r="D51" s="211">
        <f>D35</f>
        <v>63.692132000000008</v>
      </c>
      <c r="E51" s="129"/>
      <c r="M51" s="183" t="s">
        <v>429</v>
      </c>
      <c r="N51" s="183"/>
      <c r="O51" s="183"/>
      <c r="P51" s="138">
        <f>SUM(P8:P19)+SUM(U8:U19)+SUM(AJ8:AJ19)</f>
        <v>249409.02840909091</v>
      </c>
      <c r="R51" s="194"/>
    </row>
    <row r="52" spans="1:18" x14ac:dyDescent="0.25">
      <c r="A52" s="129"/>
      <c r="B52" s="129"/>
      <c r="C52" s="129"/>
      <c r="D52" s="129"/>
      <c r="E52" s="129"/>
      <c r="M52" s="183" t="s">
        <v>432</v>
      </c>
      <c r="N52" s="183"/>
      <c r="O52" s="183"/>
      <c r="P52" s="138">
        <f>SUM(Q8:Q19)+SUM(V8:V19)+SUM(AK8:AK19)</f>
        <v>810557.85818181816</v>
      </c>
    </row>
    <row r="53" spans="1:18" x14ac:dyDescent="0.25">
      <c r="A53" s="129"/>
      <c r="B53" s="129"/>
      <c r="C53" s="129"/>
      <c r="D53" s="129"/>
      <c r="E53" s="129"/>
      <c r="P53" s="196">
        <f>SUM(P50:P52)</f>
        <v>1775736.005906417</v>
      </c>
    </row>
    <row r="54" spans="1:18" x14ac:dyDescent="0.25">
      <c r="A54" s="129"/>
      <c r="B54" s="129"/>
      <c r="C54" s="129"/>
      <c r="D54" s="129"/>
      <c r="E54" s="129"/>
    </row>
    <row r="55" spans="1:18" x14ac:dyDescent="0.25">
      <c r="A55" s="129"/>
      <c r="B55" s="129"/>
      <c r="C55" s="129"/>
      <c r="D55" s="129"/>
      <c r="E55" s="129"/>
    </row>
    <row r="58" spans="1:18" x14ac:dyDescent="0.25">
      <c r="D58" s="201"/>
      <c r="E58" s="201"/>
    </row>
    <row r="59" spans="1:18" ht="15.75" x14ac:dyDescent="0.3">
      <c r="B59" s="9"/>
      <c r="D59" s="201"/>
      <c r="E59" s="201"/>
    </row>
    <row r="60" spans="1:18" ht="15.75" x14ac:dyDescent="0.3">
      <c r="B60" s="9"/>
      <c r="D60" s="201"/>
      <c r="E60" s="201"/>
    </row>
    <row r="61" spans="1:18" ht="15.75" x14ac:dyDescent="0.3">
      <c r="B61" s="4"/>
      <c r="D61" s="168"/>
      <c r="E61" s="168"/>
    </row>
    <row r="62" spans="1:18" ht="15.75" x14ac:dyDescent="0.3">
      <c r="B62" s="4"/>
      <c r="D62" s="168"/>
      <c r="E62" s="168"/>
    </row>
    <row r="63" spans="1:18" ht="15.75" x14ac:dyDescent="0.3">
      <c r="B63" s="4"/>
      <c r="D63" s="167"/>
      <c r="E63" s="167"/>
    </row>
  </sheetData>
  <mergeCells count="3">
    <mergeCell ref="A6:I6"/>
    <mergeCell ref="J6:Y6"/>
    <mergeCell ref="Z6:AI6"/>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84"/>
  <sheetViews>
    <sheetView topLeftCell="A28" zoomScale="55" zoomScaleNormal="55" workbookViewId="0">
      <selection activeCell="E74" sqref="E74"/>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623" t="s">
        <v>353</v>
      </c>
      <c r="C12" s="624"/>
      <c r="D12" s="624"/>
      <c r="E12" s="624"/>
      <c r="F12" s="624"/>
      <c r="G12" s="624"/>
      <c r="H12" s="624"/>
      <c r="I12" s="624"/>
      <c r="J12" s="624"/>
      <c r="K12" s="624"/>
      <c r="L12" s="626" t="s">
        <v>354</v>
      </c>
      <c r="M12" s="627"/>
      <c r="N12" s="627"/>
      <c r="O12" s="627"/>
      <c r="P12" s="627"/>
      <c r="Q12" s="627"/>
      <c r="R12" s="627"/>
      <c r="S12" s="627"/>
      <c r="T12" s="627"/>
      <c r="U12" s="627"/>
      <c r="V12" s="627"/>
      <c r="W12" s="627"/>
      <c r="X12" s="627"/>
      <c r="Y12" s="627"/>
      <c r="Z12" s="627"/>
      <c r="AA12" s="628"/>
      <c r="AB12" s="629" t="s">
        <v>355</v>
      </c>
      <c r="AC12" s="629"/>
      <c r="AD12" s="629"/>
      <c r="AE12" s="629"/>
      <c r="AF12" s="629"/>
      <c r="AG12" s="629"/>
      <c r="AH12" s="629"/>
      <c r="AI12" s="629"/>
      <c r="AJ12" s="629"/>
      <c r="AK12" s="629"/>
      <c r="AL12" s="219"/>
      <c r="AM12" s="219"/>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2: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2: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2:42" x14ac:dyDescent="0.25">
      <c r="J67" s="137"/>
      <c r="K67" s="137"/>
      <c r="AE67" s="142"/>
      <c r="AF67" s="142"/>
      <c r="AG67" s="141"/>
      <c r="AH67" s="140"/>
      <c r="AI67" s="140"/>
      <c r="AJ67" s="140"/>
      <c r="AK67" s="141"/>
      <c r="AL67" s="141"/>
      <c r="AM67" s="141"/>
      <c r="AN67" s="141"/>
      <c r="AO67" s="142"/>
      <c r="AP67" s="140"/>
    </row>
    <row r="68" spans="2:42" ht="15.75" thickBot="1" x14ac:dyDescent="0.3">
      <c r="W68" s="142"/>
      <c r="X68" s="142"/>
      <c r="Y68" s="142"/>
      <c r="Z68" s="317"/>
      <c r="AE68" s="142"/>
      <c r="AF68" s="142"/>
      <c r="AG68" s="141"/>
    </row>
    <row r="69" spans="2:42" x14ac:dyDescent="0.25">
      <c r="B69" s="129"/>
      <c r="C69" s="202" t="s">
        <v>452</v>
      </c>
      <c r="D69" s="203"/>
      <c r="E69" s="214">
        <v>200</v>
      </c>
      <c r="W69" s="142"/>
      <c r="X69" s="142"/>
      <c r="Y69" s="142"/>
      <c r="Z69" s="317"/>
      <c r="AE69" s="142"/>
      <c r="AF69" s="142"/>
      <c r="AG69" s="141"/>
    </row>
    <row r="70" spans="2:42" x14ac:dyDescent="0.25">
      <c r="B70" s="129"/>
      <c r="C70" s="204" t="s">
        <v>451</v>
      </c>
      <c r="D70" s="129"/>
      <c r="E70" s="205">
        <f>H58</f>
        <v>168</v>
      </c>
      <c r="W70" s="142"/>
      <c r="X70" s="142"/>
      <c r="Y70" s="142"/>
      <c r="Z70" s="142"/>
    </row>
    <row r="71" spans="2:42" x14ac:dyDescent="0.25">
      <c r="B71" s="129"/>
      <c r="C71" s="204" t="s">
        <v>450</v>
      </c>
      <c r="D71" s="129"/>
      <c r="E71" s="205">
        <f>E69*E70</f>
        <v>33600</v>
      </c>
      <c r="W71" s="142"/>
      <c r="X71" s="142"/>
      <c r="Y71" s="142"/>
      <c r="Z71" s="319"/>
    </row>
    <row r="72" spans="2:42" x14ac:dyDescent="0.25">
      <c r="B72" s="129"/>
      <c r="C72" s="204" t="s">
        <v>444</v>
      </c>
      <c r="D72" s="129"/>
      <c r="E72" s="205">
        <v>2.6761400000000002</v>
      </c>
      <c r="T72" s="194"/>
      <c r="W72" s="142"/>
      <c r="X72" s="142"/>
      <c r="Y72" s="142"/>
      <c r="Z72" s="141"/>
    </row>
    <row r="73" spans="2:42" x14ac:dyDescent="0.25">
      <c r="C73" s="204" t="s">
        <v>453</v>
      </c>
      <c r="D73" s="129"/>
      <c r="E73" s="205">
        <f>E71*E72</f>
        <v>89918.304000000004</v>
      </c>
      <c r="W73" s="142"/>
      <c r="X73" s="142"/>
      <c r="Y73" s="142"/>
      <c r="Z73" s="141"/>
    </row>
    <row r="74" spans="2:42" ht="15.75" thickBot="1" x14ac:dyDescent="0.3">
      <c r="C74" s="206" t="s">
        <v>454</v>
      </c>
      <c r="D74" s="207"/>
      <c r="E74" s="215">
        <f>E73/1000</f>
        <v>89.918304000000006</v>
      </c>
      <c r="W74" s="142"/>
      <c r="X74" s="142"/>
      <c r="Y74" s="142"/>
      <c r="Z74" s="320"/>
    </row>
    <row r="78" spans="2:42" x14ac:dyDescent="0.25">
      <c r="E78" t="s">
        <v>446</v>
      </c>
    </row>
    <row r="79" spans="2:42" x14ac:dyDescent="0.25">
      <c r="C79" s="216" t="s">
        <v>456</v>
      </c>
      <c r="D79">
        <f>E71*0.5</f>
        <v>16800</v>
      </c>
      <c r="E79" s="168">
        <f>D79/1000000</f>
        <v>1.6799999999999999E-2</v>
      </c>
      <c r="F79" s="129" t="s">
        <v>520</v>
      </c>
      <c r="G79"/>
    </row>
    <row r="80" spans="2:42" x14ac:dyDescent="0.25">
      <c r="C80" s="129" t="s">
        <v>448</v>
      </c>
      <c r="D80" s="212">
        <f>J62+440000</f>
        <v>778565</v>
      </c>
      <c r="E80" s="213">
        <f>D80/1000000</f>
        <v>0.77856499999999995</v>
      </c>
      <c r="F80" s="129"/>
      <c r="G80"/>
    </row>
    <row r="81" spans="3:7" x14ac:dyDescent="0.25">
      <c r="C81" s="129" t="s">
        <v>455</v>
      </c>
      <c r="D81" s="129">
        <f>E74</f>
        <v>89.918304000000006</v>
      </c>
      <c r="E81" s="211">
        <f>D81</f>
        <v>89.918304000000006</v>
      </c>
      <c r="F81" s="129"/>
      <c r="G81"/>
    </row>
    <row r="82" spans="3:7" ht="15.75" x14ac:dyDescent="0.3">
      <c r="C82" s="4"/>
      <c r="E82" s="168"/>
      <c r="F82" s="168"/>
      <c r="G82"/>
    </row>
    <row r="83" spans="3:7" ht="15.75" x14ac:dyDescent="0.3">
      <c r="C83" s="4"/>
      <c r="E83" s="168"/>
      <c r="F83" s="168"/>
      <c r="G83"/>
    </row>
    <row r="84" spans="3:7" ht="15.75" x14ac:dyDescent="0.3">
      <c r="C84" s="4"/>
      <c r="E84" s="167"/>
      <c r="F84" s="167"/>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84"/>
  <sheetViews>
    <sheetView topLeftCell="A46" zoomScale="55" zoomScaleNormal="55" workbookViewId="0">
      <selection activeCell="E73" sqref="E73"/>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3" width="17.28515625" style="323" bestFit="1" customWidth="1"/>
    <col min="44" max="44" width="15.140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630"/>
      <c r="AD8" s="630"/>
      <c r="AE8" s="630"/>
      <c r="AF8" s="630"/>
      <c r="AG8" s="630"/>
      <c r="AH8" s="630"/>
      <c r="AI8" s="630"/>
      <c r="AJ8" s="630"/>
      <c r="AK8" s="630"/>
      <c r="AL8" s="630"/>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631" t="s">
        <v>522</v>
      </c>
      <c r="C12" s="632"/>
      <c r="D12" s="632"/>
      <c r="E12" s="632"/>
      <c r="F12" s="632"/>
      <c r="G12" s="632"/>
      <c r="H12" s="632"/>
      <c r="I12" s="632"/>
      <c r="J12" s="632"/>
      <c r="K12" s="632"/>
      <c r="L12" s="633"/>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452</v>
      </c>
      <c r="D71" s="203"/>
      <c r="E71" s="214">
        <v>200</v>
      </c>
      <c r="F71"/>
      <c r="X71" s="330"/>
      <c r="Y71" s="330"/>
      <c r="Z71" s="330"/>
      <c r="AA71" s="464"/>
    </row>
    <row r="72" spans="3:42" ht="15" x14ac:dyDescent="0.25">
      <c r="C72" s="204" t="s">
        <v>451</v>
      </c>
      <c r="D72" s="129"/>
      <c r="E72" s="470">
        <f>K61</f>
        <v>323</v>
      </c>
      <c r="F72"/>
      <c r="U72" s="465"/>
      <c r="X72" s="330"/>
      <c r="Y72" s="330"/>
      <c r="Z72" s="330"/>
      <c r="AA72" s="329"/>
    </row>
    <row r="73" spans="3:42" ht="15" x14ac:dyDescent="0.25">
      <c r="C73" s="204" t="s">
        <v>450</v>
      </c>
      <c r="D73" s="129"/>
      <c r="E73" s="205">
        <f>E71*E72</f>
        <v>64600</v>
      </c>
      <c r="F73"/>
      <c r="X73" s="330"/>
      <c r="Y73" s="330"/>
      <c r="Z73" s="330"/>
      <c r="AA73" s="329"/>
    </row>
    <row r="74" spans="3:42" ht="15" x14ac:dyDescent="0.25">
      <c r="C74" s="204" t="s">
        <v>444</v>
      </c>
      <c r="D74" s="129"/>
      <c r="E74" s="205">
        <v>2.6761400000000002</v>
      </c>
      <c r="F74"/>
      <c r="X74" s="330"/>
      <c r="Y74" s="330"/>
      <c r="Z74" s="330"/>
      <c r="AA74" s="466"/>
    </row>
    <row r="75" spans="3:42" ht="15" x14ac:dyDescent="0.25">
      <c r="C75" s="204" t="s">
        <v>453</v>
      </c>
      <c r="D75" s="129"/>
      <c r="E75" s="205">
        <f>E73*E74</f>
        <v>172878.644</v>
      </c>
      <c r="F75"/>
    </row>
    <row r="76" spans="3:42" ht="15.75" thickBot="1" x14ac:dyDescent="0.3">
      <c r="C76" s="206" t="s">
        <v>454</v>
      </c>
      <c r="D76" s="207"/>
      <c r="E76" s="215">
        <f>E75/1000</f>
        <v>172.87864400000001</v>
      </c>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t="s">
        <v>446</v>
      </c>
      <c r="F80"/>
      <c r="G80" s="467"/>
    </row>
    <row r="81" spans="3:7" s="323" customFormat="1" ht="15" x14ac:dyDescent="0.25">
      <c r="C81" s="216" t="s">
        <v>456</v>
      </c>
      <c r="D81">
        <f>E73*0.5</f>
        <v>32300</v>
      </c>
      <c r="E81" s="168">
        <f>D81/1000000</f>
        <v>3.2300000000000002E-2</v>
      </c>
      <c r="F81" s="129" t="s">
        <v>520</v>
      </c>
      <c r="G81" s="467"/>
    </row>
    <row r="82" spans="3:7" s="323" customFormat="1" ht="15" x14ac:dyDescent="0.25">
      <c r="C82" s="129" t="s">
        <v>448</v>
      </c>
      <c r="D82" s="212">
        <f>K62</f>
        <v>468457.1</v>
      </c>
      <c r="E82" s="213">
        <f>D82/1000000</f>
        <v>0.46845709999999996</v>
      </c>
      <c r="F82" s="129"/>
      <c r="G82" s="435"/>
    </row>
    <row r="83" spans="3:7" s="323" customFormat="1" ht="15" x14ac:dyDescent="0.25">
      <c r="C83" s="129" t="s">
        <v>455</v>
      </c>
      <c r="D83" s="129">
        <f>E76</f>
        <v>172.87864400000001</v>
      </c>
      <c r="E83" s="211">
        <f>D83</f>
        <v>172.87864400000001</v>
      </c>
      <c r="F83" s="129"/>
      <c r="G83" s="435"/>
    </row>
    <row r="84" spans="3:7" s="323" customFormat="1" x14ac:dyDescent="0.2">
      <c r="D84" s="468"/>
      <c r="F84" s="469"/>
      <c r="G84" s="469"/>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1440-993C-4AFB-AFB0-07BE245584CF}">
  <dimension ref="A1:AR91"/>
  <sheetViews>
    <sheetView topLeftCell="A41" zoomScale="60" zoomScaleNormal="60" workbookViewId="0">
      <selection activeCell="E88" sqref="E88"/>
    </sheetView>
  </sheetViews>
  <sheetFormatPr defaultRowHeight="14.25" x14ac:dyDescent="0.2"/>
  <cols>
    <col min="1" max="1" width="11.7109375" style="477" bestFit="1" customWidth="1"/>
    <col min="2" max="2" width="23.42578125" style="477" bestFit="1" customWidth="1"/>
    <col min="3" max="3" width="19.140625" style="477"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630"/>
      <c r="AD8" s="630"/>
      <c r="AE8" s="630"/>
      <c r="AF8" s="630"/>
      <c r="AG8" s="630"/>
      <c r="AH8" s="630"/>
      <c r="AI8" s="630"/>
      <c r="AJ8" s="630"/>
      <c r="AK8" s="630"/>
      <c r="AL8" s="630"/>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34" t="s">
        <v>522</v>
      </c>
      <c r="C12" s="635"/>
      <c r="D12" s="635"/>
      <c r="E12" s="635"/>
      <c r="F12" s="635"/>
      <c r="G12" s="635"/>
      <c r="H12" s="635"/>
      <c r="I12" s="635"/>
      <c r="J12" s="635"/>
      <c r="K12" s="635"/>
      <c r="L12" s="636"/>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x14ac:dyDescent="0.2">
      <c r="X73" s="483"/>
      <c r="Y73" s="483"/>
      <c r="Z73" s="483"/>
      <c r="AA73" s="545"/>
      <c r="AF73" s="483"/>
      <c r="AG73" s="483"/>
      <c r="AH73" s="482"/>
    </row>
    <row r="74" spans="3:42" x14ac:dyDescent="0.2">
      <c r="D74" s="509"/>
      <c r="E74" s="509"/>
      <c r="F74" s="546"/>
      <c r="X74" s="483"/>
      <c r="Y74" s="483"/>
      <c r="Z74" s="483"/>
      <c r="AA74" s="545"/>
      <c r="AF74" s="483"/>
      <c r="AG74" s="483"/>
      <c r="AH74" s="482"/>
    </row>
    <row r="75" spans="3:42" ht="15" thickBot="1" x14ac:dyDescent="0.25">
      <c r="D75" s="509"/>
      <c r="E75" s="509"/>
      <c r="F75" s="509"/>
      <c r="X75" s="483"/>
      <c r="Y75" s="483"/>
      <c r="Z75" s="483"/>
      <c r="AA75" s="483"/>
    </row>
    <row r="76" spans="3:42" ht="15" x14ac:dyDescent="0.25">
      <c r="C76" s="202" t="s">
        <v>452</v>
      </c>
      <c r="D76" s="203"/>
      <c r="E76" s="214">
        <v>200</v>
      </c>
      <c r="F76" s="546"/>
      <c r="X76" s="483"/>
      <c r="Y76" s="483"/>
      <c r="Z76" s="483"/>
      <c r="AA76" s="547"/>
    </row>
    <row r="77" spans="3:42" ht="15" x14ac:dyDescent="0.25">
      <c r="C77" s="204" t="s">
        <v>451</v>
      </c>
      <c r="D77" s="129"/>
      <c r="E77" s="470">
        <f>K66</f>
        <v>221</v>
      </c>
      <c r="F77" s="548"/>
      <c r="U77" s="549"/>
      <c r="X77" s="483"/>
      <c r="Y77" s="483"/>
      <c r="Z77" s="483"/>
      <c r="AA77" s="482"/>
    </row>
    <row r="78" spans="3:42" ht="15" x14ac:dyDescent="0.25">
      <c r="C78" s="204" t="s">
        <v>450</v>
      </c>
      <c r="D78" s="129"/>
      <c r="E78" s="205">
        <f>E76*E77</f>
        <v>44200</v>
      </c>
      <c r="X78" s="483"/>
      <c r="Y78" s="483"/>
      <c r="Z78" s="483"/>
      <c r="AA78" s="482"/>
    </row>
    <row r="79" spans="3:42" ht="15" x14ac:dyDescent="0.25">
      <c r="C79" s="204" t="s">
        <v>444</v>
      </c>
      <c r="D79" s="129"/>
      <c r="E79" s="205">
        <v>2.6761400000000002</v>
      </c>
      <c r="X79" s="483"/>
      <c r="Y79" s="483"/>
      <c r="Z79" s="483"/>
      <c r="AA79" s="466"/>
    </row>
    <row r="80" spans="3:42" ht="15" x14ac:dyDescent="0.25">
      <c r="C80" s="204" t="s">
        <v>453</v>
      </c>
      <c r="D80" s="129"/>
      <c r="E80" s="205">
        <f>E78*E79</f>
        <v>118285.38800000001</v>
      </c>
    </row>
    <row r="81" spans="3:7" ht="15.75" thickBot="1" x14ac:dyDescent="0.3">
      <c r="C81" s="206" t="s">
        <v>454</v>
      </c>
      <c r="D81" s="207"/>
      <c r="E81" s="215">
        <f>E80/1000</f>
        <v>118.28538800000001</v>
      </c>
    </row>
    <row r="82" spans="3:7" ht="15" x14ac:dyDescent="0.25">
      <c r="C82"/>
      <c r="D82"/>
      <c r="E82"/>
    </row>
    <row r="83" spans="3:7" ht="15" x14ac:dyDescent="0.25">
      <c r="C83"/>
      <c r="D83"/>
      <c r="E83"/>
    </row>
    <row r="84" spans="3:7" ht="15" x14ac:dyDescent="0.25">
      <c r="C84"/>
      <c r="D84"/>
      <c r="E84"/>
      <c r="F84" s="550"/>
      <c r="G84" s="550"/>
    </row>
    <row r="85" spans="3:7" ht="15" x14ac:dyDescent="0.25">
      <c r="C85"/>
      <c r="D85"/>
      <c r="E85" t="s">
        <v>446</v>
      </c>
      <c r="F85" s="550"/>
      <c r="G85" s="550"/>
    </row>
    <row r="86" spans="3:7" ht="15" x14ac:dyDescent="0.25">
      <c r="C86" s="216" t="s">
        <v>456</v>
      </c>
      <c r="D86">
        <f>E78*0.7</f>
        <v>30939.999999999996</v>
      </c>
      <c r="E86" s="168">
        <f>D86/1000000</f>
        <v>3.0939999999999995E-2</v>
      </c>
      <c r="F86" s="550"/>
      <c r="G86" s="550"/>
    </row>
    <row r="87" spans="3:7" ht="15" x14ac:dyDescent="0.25">
      <c r="C87" s="129" t="s">
        <v>448</v>
      </c>
      <c r="D87" s="212">
        <f>K67</f>
        <v>447549.11</v>
      </c>
      <c r="E87" s="213">
        <f>D87/1000000</f>
        <v>0.44754910999999997</v>
      </c>
      <c r="F87" s="528"/>
      <c r="G87" s="528"/>
    </row>
    <row r="88" spans="3:7" ht="15" x14ac:dyDescent="0.25">
      <c r="C88" s="129" t="s">
        <v>455</v>
      </c>
      <c r="D88" s="129">
        <f>E81</f>
        <v>118.28538800000001</v>
      </c>
      <c r="E88" s="211">
        <f>D88</f>
        <v>118.28538800000001</v>
      </c>
      <c r="F88" s="528"/>
      <c r="G88" s="528"/>
    </row>
    <row r="89" spans="3:7" x14ac:dyDescent="0.2">
      <c r="D89" s="468"/>
      <c r="F89" s="551"/>
      <c r="G89" s="551"/>
    </row>
    <row r="91" spans="3:7" x14ac:dyDescent="0.2">
      <c r="C91" s="588"/>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291D8B-3A93-46BA-926A-75CF7E5E6E7A}">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2D4BE-37B3-4068-8348-B275C84E0DE3}">
  <dimension ref="A1:AR91"/>
  <sheetViews>
    <sheetView topLeftCell="A46" zoomScale="70" zoomScaleNormal="70" workbookViewId="0">
      <selection activeCell="F83" sqref="F83"/>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2"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460</v>
      </c>
      <c r="L8" s="479"/>
      <c r="O8" s="149"/>
      <c r="P8" s="149"/>
      <c r="Q8" s="150"/>
      <c r="AC8" s="630"/>
      <c r="AD8" s="630"/>
      <c r="AE8" s="630"/>
      <c r="AF8" s="630"/>
      <c r="AG8" s="630"/>
      <c r="AH8" s="630"/>
      <c r="AI8" s="630"/>
      <c r="AJ8" s="630"/>
      <c r="AK8" s="630"/>
      <c r="AL8" s="630"/>
      <c r="AM8" s="554"/>
      <c r="AN8" s="554"/>
      <c r="AO8" s="554"/>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34" t="s">
        <v>522</v>
      </c>
      <c r="C12" s="635"/>
      <c r="D12" s="635"/>
      <c r="E12" s="635"/>
      <c r="F12" s="635"/>
      <c r="G12" s="635"/>
      <c r="H12" s="635"/>
      <c r="I12" s="635"/>
      <c r="J12" s="635"/>
      <c r="K12" s="635"/>
      <c r="L12" s="636"/>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553"/>
      <c r="AN12" s="553"/>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55" t="s">
        <v>525</v>
      </c>
      <c r="B14" s="555" t="s">
        <v>526</v>
      </c>
      <c r="C14" s="559"/>
      <c r="D14" s="559" t="s">
        <v>412</v>
      </c>
      <c r="E14" s="559" t="s">
        <v>387</v>
      </c>
      <c r="F14" s="559"/>
      <c r="G14" s="561">
        <v>43574</v>
      </c>
      <c r="H14" s="564">
        <v>19</v>
      </c>
      <c r="I14" s="559">
        <v>14</v>
      </c>
      <c r="J14" s="349">
        <f>SUM(I14:I17)/(($K$8-$K$9)/$K$10)</f>
        <v>0.41739130434782606</v>
      </c>
      <c r="K14" s="571">
        <v>24840</v>
      </c>
      <c r="L14" s="351">
        <f>15713.9-K14</f>
        <v>-9126.1</v>
      </c>
      <c r="M14" s="497">
        <f>[4]CBA!M14</f>
        <v>420</v>
      </c>
      <c r="N14" s="497">
        <f>[4]CBA!N14</f>
        <v>21</v>
      </c>
      <c r="O14" s="497">
        <f>[4]CBA!O14</f>
        <v>840</v>
      </c>
      <c r="P14" s="497">
        <f>[4]CBA!P14</f>
        <v>1680</v>
      </c>
      <c r="Q14" s="497">
        <f>[4]CBA!Q14</f>
        <v>144798</v>
      </c>
      <c r="R14" s="497">
        <f>[4]CBA!R14</f>
        <v>20724</v>
      </c>
      <c r="S14" s="574">
        <f>O14*$Q$3</f>
        <v>5048.3999999999996</v>
      </c>
      <c r="T14" s="574">
        <f>P14*$Q$4</f>
        <v>14137.199999999999</v>
      </c>
      <c r="U14" s="567">
        <f>N14/$U$1</f>
        <v>0.38181818181818183</v>
      </c>
      <c r="V14" s="355">
        <f>IF(M14=0,0,U14*$U$3)</f>
        <v>190.90909090909091</v>
      </c>
      <c r="W14" s="574">
        <f>M14*U14</f>
        <v>160.36363636363637</v>
      </c>
      <c r="X14" s="574">
        <f>U14*(M14*$U$2)</f>
        <v>641.4545454545455</v>
      </c>
      <c r="Y14" s="574">
        <f>U14*(M14*$AF$3)</f>
        <v>1927.570909090909</v>
      </c>
      <c r="Z14" s="574">
        <f>U14*(M14*$U$2)*$AF$4</f>
        <v>10795.68</v>
      </c>
      <c r="AA14" s="574">
        <f>Y14+Z14</f>
        <v>12723.25090909091</v>
      </c>
      <c r="AB14" s="571">
        <f>Q14+R14+S14+T14+V14+AA14</f>
        <v>197621.76000000001</v>
      </c>
      <c r="AC14" s="235">
        <f>[4]CBA!AC14</f>
        <v>1340</v>
      </c>
      <c r="AD14" s="231">
        <f>[4]CBA!AD14</f>
        <v>8</v>
      </c>
      <c r="AE14" s="231">
        <f>AC14*AD14</f>
        <v>10720</v>
      </c>
      <c r="AF14" s="236">
        <f>AC14*$AF$3</f>
        <v>16106.8</v>
      </c>
      <c r="AG14" s="236">
        <f>AE14*$AF$4</f>
        <v>180417.59999999998</v>
      </c>
      <c r="AH14" s="239">
        <f>(AF14+AG14)</f>
        <v>196524.39999999997</v>
      </c>
      <c r="AI14" s="240">
        <f>$AF$6</f>
        <v>0.05</v>
      </c>
      <c r="AJ14" s="241">
        <f>AC14*AI14</f>
        <v>67</v>
      </c>
      <c r="AK14" s="241">
        <f>AE14*AI14</f>
        <v>536</v>
      </c>
      <c r="AL14" s="239">
        <f>AH14*AI14</f>
        <v>9826.2199999999993</v>
      </c>
      <c r="AM14" s="239">
        <f>AF14*AI14</f>
        <v>805.34</v>
      </c>
      <c r="AN14" s="239">
        <f>AG14*AI14</f>
        <v>9020.8799999999992</v>
      </c>
      <c r="AO14" s="242">
        <f>AB14+AH14</f>
        <v>394146.16</v>
      </c>
      <c r="AP14" s="172">
        <f t="shared" ref="AP14:AP60" si="0">AO14-($K$68*H14)</f>
        <v>363163.69816053507</v>
      </c>
      <c r="AQ14" s="243">
        <f>AB14+AL14</f>
        <v>207447.98</v>
      </c>
      <c r="AR14" s="243">
        <f t="shared" ref="AR14:AR60" si="1">AQ14-($K$68*H14)</f>
        <v>176465.51816053514</v>
      </c>
    </row>
    <row r="15" spans="1:44" ht="15" x14ac:dyDescent="0.25">
      <c r="A15" s="555"/>
      <c r="B15" s="555" t="s">
        <v>526</v>
      </c>
      <c r="C15" s="559"/>
      <c r="D15" s="559" t="s">
        <v>609</v>
      </c>
      <c r="E15" s="559" t="s">
        <v>409</v>
      </c>
      <c r="F15" s="559"/>
      <c r="G15" s="561"/>
      <c r="H15" s="564">
        <v>5</v>
      </c>
      <c r="I15" s="559">
        <v>2</v>
      </c>
      <c r="J15" s="567"/>
      <c r="K15" s="571"/>
      <c r="L15" s="351"/>
      <c r="M15" s="497">
        <f>[4]CBA!M15</f>
        <v>166</v>
      </c>
      <c r="N15" s="497">
        <f>[4]CBA!N15</f>
        <v>12</v>
      </c>
      <c r="O15" s="497">
        <f>[4]CBA!O15</f>
        <v>332</v>
      </c>
      <c r="P15" s="497">
        <f>[4]CBA!P15</f>
        <v>1328</v>
      </c>
      <c r="Q15" s="497">
        <f>[4]CBA!Q15</f>
        <v>44824.091428571424</v>
      </c>
      <c r="R15" s="497">
        <f>[4]CBA!R15</f>
        <v>13616</v>
      </c>
      <c r="S15" s="574">
        <f>O15*$Q$3</f>
        <v>1995.32</v>
      </c>
      <c r="T15" s="574">
        <f>P15*$Q$4</f>
        <v>11175.119999999999</v>
      </c>
      <c r="U15" s="567">
        <f>N15/$U$1</f>
        <v>0.21818181818181817</v>
      </c>
      <c r="V15" s="355">
        <f>IF(M15=0,0,U15*$U$3)</f>
        <v>109.09090909090908</v>
      </c>
      <c r="W15" s="574">
        <f>M15*U15</f>
        <v>36.218181818181819</v>
      </c>
      <c r="X15" s="574">
        <f>U15*(M15*$U$2)</f>
        <v>144.87272727272727</v>
      </c>
      <c r="Y15" s="574">
        <f>U15*(M15*$AF$3)</f>
        <v>435.34254545454542</v>
      </c>
      <c r="Z15" s="574">
        <f>U15*(M15*$U$2)*$AF$4</f>
        <v>2438.2079999999996</v>
      </c>
      <c r="AA15" s="574">
        <f>Y15+Z15</f>
        <v>2873.550545454545</v>
      </c>
      <c r="AB15" s="571">
        <f>Q15+R15+S15+T15+V15+AA15</f>
        <v>74593.172883116888</v>
      </c>
      <c r="AC15" s="235">
        <f>[4]CBA!AC15</f>
        <v>2160</v>
      </c>
      <c r="AD15" s="235">
        <f>[4]CBA!AD15</f>
        <v>8</v>
      </c>
      <c r="AE15" s="231">
        <f t="shared" ref="AE15:AE60" si="2">AC15*AD15</f>
        <v>17280</v>
      </c>
      <c r="AF15" s="236">
        <f t="shared" ref="AF15:AF60" si="3">AC15*$AF$3</f>
        <v>25963.200000000001</v>
      </c>
      <c r="AG15" s="236">
        <f t="shared" ref="AG15:AG60" si="4">AE15*$AF$4</f>
        <v>290822.39999999997</v>
      </c>
      <c r="AH15" s="239">
        <f t="shared" ref="AH15:AH60" si="5">(AF15+AG15)</f>
        <v>316785.59999999998</v>
      </c>
      <c r="AI15" s="240">
        <f t="shared" ref="AI15:AI60" si="6">$AF$6</f>
        <v>0.05</v>
      </c>
      <c r="AJ15" s="241">
        <f t="shared" ref="AJ15:AJ60" si="7">AC15*AI15</f>
        <v>108</v>
      </c>
      <c r="AK15" s="241">
        <f t="shared" ref="AK15:AK60" si="8">AE15*AI15</f>
        <v>864</v>
      </c>
      <c r="AL15" s="239">
        <f t="shared" ref="AL15:AL60" si="9">AH15*AI15</f>
        <v>15839.279999999999</v>
      </c>
      <c r="AM15" s="239">
        <f t="shared" ref="AM15:AM60" si="10">AF15*AI15</f>
        <v>1298.1600000000001</v>
      </c>
      <c r="AN15" s="239">
        <f t="shared" ref="AN15:AN60" si="11">AG15*AI15</f>
        <v>14541.119999999999</v>
      </c>
      <c r="AO15" s="242">
        <f t="shared" ref="AO15:AO60" si="12">AB15+AH15</f>
        <v>391378.77288311685</v>
      </c>
      <c r="AP15" s="172">
        <f t="shared" si="0"/>
        <v>383225.49345167872</v>
      </c>
      <c r="AQ15" s="243">
        <f t="shared" ref="AQ15:AQ60" si="13">AB15+AL15</f>
        <v>90432.452883116886</v>
      </c>
      <c r="AR15" s="243">
        <f t="shared" si="1"/>
        <v>82279.173451678755</v>
      </c>
    </row>
    <row r="16" spans="1:44" s="509" customFormat="1" ht="15" x14ac:dyDescent="0.25">
      <c r="A16" s="556"/>
      <c r="B16" s="556"/>
      <c r="C16" s="560"/>
      <c r="D16" s="560"/>
      <c r="E16" s="560"/>
      <c r="F16" s="560"/>
      <c r="G16" s="562"/>
      <c r="H16" s="565"/>
      <c r="I16" s="560"/>
      <c r="J16" s="568"/>
      <c r="K16" s="568"/>
      <c r="L16" s="572"/>
      <c r="M16" s="505"/>
      <c r="N16" s="505"/>
      <c r="O16" s="505"/>
      <c r="P16" s="505"/>
      <c r="Q16" s="497"/>
      <c r="R16" s="497"/>
      <c r="S16" s="575">
        <f>O16*$Q$3</f>
        <v>0</v>
      </c>
      <c r="T16" s="575">
        <f>P16*$Q$4</f>
        <v>0</v>
      </c>
      <c r="U16" s="577">
        <f>N16/$U$1</f>
        <v>0</v>
      </c>
      <c r="V16" s="364">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505"/>
      <c r="N17" s="505"/>
      <c r="O17" s="505"/>
      <c r="P17" s="505"/>
      <c r="Q17" s="510"/>
      <c r="R17" s="510"/>
      <c r="S17" s="575">
        <f t="shared" ref="S17:S58" si="14">O17*$Q$3</f>
        <v>0</v>
      </c>
      <c r="T17" s="575">
        <f t="shared" ref="T17:T58" si="15">P17*$Q$4</f>
        <v>0</v>
      </c>
      <c r="U17" s="577">
        <f t="shared" ref="U17:U58" si="16">N17/$U$1</f>
        <v>0</v>
      </c>
      <c r="V17" s="364">
        <f t="shared" ref="V17:V58" si="17">IF(M17=0,0,U17*$U$3)</f>
        <v>0</v>
      </c>
      <c r="W17" s="575">
        <f t="shared" ref="W17:W58" si="18">M17*U17</f>
        <v>0</v>
      </c>
      <c r="X17" s="575">
        <f t="shared" ref="X17:X58" si="19">U17*(M17*$U$2)</f>
        <v>0</v>
      </c>
      <c r="Y17" s="575">
        <f t="shared" ref="Y17:Y58" si="20">U17*(M17*$AF$3)</f>
        <v>0</v>
      </c>
      <c r="Z17" s="575">
        <f t="shared" ref="Z17:Z58" si="21">U17*(M17*$U$2)*$AF$4</f>
        <v>0</v>
      </c>
      <c r="AA17" s="575">
        <f t="shared" ref="AA17:AA58" si="22">Y17+Z17</f>
        <v>0</v>
      </c>
      <c r="AB17" s="568">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57" t="s">
        <v>541</v>
      </c>
      <c r="B18" s="249" t="s">
        <v>526</v>
      </c>
      <c r="C18" s="249"/>
      <c r="D18" s="249" t="s">
        <v>609</v>
      </c>
      <c r="E18" s="249" t="s">
        <v>409</v>
      </c>
      <c r="F18" s="249"/>
      <c r="G18" s="260">
        <v>43599</v>
      </c>
      <c r="H18" s="252">
        <v>5</v>
      </c>
      <c r="I18" s="249">
        <v>3</v>
      </c>
      <c r="J18" s="382">
        <f>SUM(I18:I21)/(($K$8-$K$9)/$K$10)</f>
        <v>0.62608695652173907</v>
      </c>
      <c r="K18" s="570">
        <v>24840</v>
      </c>
      <c r="L18" s="384">
        <f>16221.5-K18</f>
        <v>-8618.5</v>
      </c>
      <c r="M18" s="422"/>
      <c r="N18" s="422"/>
      <c r="O18" s="422"/>
      <c r="P18" s="422"/>
      <c r="Q18" s="422"/>
      <c r="R18" s="422"/>
      <c r="S18" s="576">
        <f t="shared" si="14"/>
        <v>0</v>
      </c>
      <c r="T18" s="576">
        <f t="shared" si="15"/>
        <v>0</v>
      </c>
      <c r="U18" s="578">
        <f t="shared" si="16"/>
        <v>0</v>
      </c>
      <c r="V18" s="390">
        <f t="shared" si="17"/>
        <v>0</v>
      </c>
      <c r="W18" s="576">
        <f t="shared" si="18"/>
        <v>0</v>
      </c>
      <c r="X18" s="576">
        <f t="shared" si="19"/>
        <v>0</v>
      </c>
      <c r="Y18" s="576">
        <f t="shared" si="20"/>
        <v>0</v>
      </c>
      <c r="Z18" s="576">
        <f t="shared" si="21"/>
        <v>0</v>
      </c>
      <c r="AA18" s="576">
        <f t="shared" si="22"/>
        <v>0</v>
      </c>
      <c r="AB18" s="579">
        <f t="shared" si="23"/>
        <v>0</v>
      </c>
      <c r="AC18" s="580"/>
      <c r="AD18" s="558"/>
      <c r="AE18" s="231">
        <f t="shared" si="2"/>
        <v>0</v>
      </c>
      <c r="AF18" s="236">
        <f t="shared" si="3"/>
        <v>0</v>
      </c>
      <c r="AG18" s="236">
        <f t="shared" si="4"/>
        <v>0</v>
      </c>
      <c r="AH18" s="239">
        <f t="shared" si="5"/>
        <v>0</v>
      </c>
      <c r="AI18" s="240">
        <f t="shared" si="6"/>
        <v>0.05</v>
      </c>
      <c r="AJ18" s="241">
        <f t="shared" si="7"/>
        <v>0</v>
      </c>
      <c r="AK18" s="241">
        <f t="shared" si="8"/>
        <v>0</v>
      </c>
      <c r="AL18" s="239">
        <f t="shared" si="9"/>
        <v>0</v>
      </c>
      <c r="AM18" s="239">
        <f t="shared" si="10"/>
        <v>0</v>
      </c>
      <c r="AN18" s="239">
        <f t="shared" si="11"/>
        <v>0</v>
      </c>
      <c r="AO18" s="242">
        <f t="shared" si="12"/>
        <v>0</v>
      </c>
      <c r="AP18" s="172">
        <f t="shared" si="0"/>
        <v>-8153.2794314381272</v>
      </c>
      <c r="AQ18" s="243">
        <f t="shared" si="13"/>
        <v>0</v>
      </c>
      <c r="AR18" s="243">
        <f t="shared" si="1"/>
        <v>-8153.2794314381272</v>
      </c>
    </row>
    <row r="19" spans="1:44" ht="15" x14ac:dyDescent="0.25">
      <c r="A19" s="557"/>
      <c r="B19" s="249" t="s">
        <v>526</v>
      </c>
      <c r="C19" s="249"/>
      <c r="D19" s="249" t="s">
        <v>613</v>
      </c>
      <c r="E19" s="249" t="s">
        <v>387</v>
      </c>
      <c r="F19" s="249"/>
      <c r="G19" s="260">
        <v>43599</v>
      </c>
      <c r="H19" s="252">
        <v>10</v>
      </c>
      <c r="I19" s="249">
        <v>8</v>
      </c>
      <c r="J19" s="569"/>
      <c r="K19" s="570"/>
      <c r="L19" s="384"/>
      <c r="M19" s="422">
        <f>[4]CBA!M19</f>
        <v>68</v>
      </c>
      <c r="N19" s="422">
        <f>[4]CBA!N19</f>
        <v>10</v>
      </c>
      <c r="O19" s="422">
        <f>[4]CBA!O19</f>
        <v>136</v>
      </c>
      <c r="P19" s="422">
        <f>[4]CBA!P19</f>
        <v>544</v>
      </c>
      <c r="Q19" s="422">
        <f>[4]CBA!Q19</f>
        <v>20576.191999999999</v>
      </c>
      <c r="R19" s="422">
        <f>[4]CBA!R19</f>
        <v>11240</v>
      </c>
      <c r="S19" s="576">
        <f t="shared" si="14"/>
        <v>817.36</v>
      </c>
      <c r="T19" s="576">
        <f t="shared" si="15"/>
        <v>4577.7599999999993</v>
      </c>
      <c r="U19" s="578">
        <f t="shared" si="16"/>
        <v>0.18181818181818182</v>
      </c>
      <c r="V19" s="390">
        <f t="shared" si="17"/>
        <v>90.909090909090907</v>
      </c>
      <c r="W19" s="576">
        <f t="shared" si="18"/>
        <v>12.363636363636363</v>
      </c>
      <c r="X19" s="576">
        <f t="shared" si="19"/>
        <v>49.454545454545453</v>
      </c>
      <c r="Y19" s="576">
        <f t="shared" si="20"/>
        <v>148.6109090909091</v>
      </c>
      <c r="Z19" s="576">
        <f t="shared" si="21"/>
        <v>832.31999999999994</v>
      </c>
      <c r="AA19" s="576">
        <f t="shared" si="22"/>
        <v>980.93090909090904</v>
      </c>
      <c r="AB19" s="579">
        <f t="shared" si="23"/>
        <v>38283.151999999995</v>
      </c>
      <c r="AC19" s="580">
        <f>[4]CBA!AC19</f>
        <v>420</v>
      </c>
      <c r="AD19" s="558">
        <f>[4]CBA!AD19</f>
        <v>8</v>
      </c>
      <c r="AE19" s="231">
        <f t="shared" si="2"/>
        <v>3360</v>
      </c>
      <c r="AF19" s="236">
        <f t="shared" si="3"/>
        <v>5048.3999999999996</v>
      </c>
      <c r="AG19" s="236">
        <f t="shared" si="4"/>
        <v>56548.799999999996</v>
      </c>
      <c r="AH19" s="239">
        <f t="shared" si="5"/>
        <v>61597.2</v>
      </c>
      <c r="AI19" s="240">
        <f t="shared" si="6"/>
        <v>0.05</v>
      </c>
      <c r="AJ19" s="241">
        <f t="shared" si="7"/>
        <v>21</v>
      </c>
      <c r="AK19" s="241">
        <f t="shared" si="8"/>
        <v>168</v>
      </c>
      <c r="AL19" s="239">
        <f t="shared" si="9"/>
        <v>3079.86</v>
      </c>
      <c r="AM19" s="239">
        <f t="shared" si="10"/>
        <v>252.42</v>
      </c>
      <c r="AN19" s="239">
        <f t="shared" si="11"/>
        <v>2827.44</v>
      </c>
      <c r="AO19" s="242">
        <f t="shared" si="12"/>
        <v>99880.351999999984</v>
      </c>
      <c r="AP19" s="172">
        <f t="shared" si="0"/>
        <v>83573.793137123736</v>
      </c>
      <c r="AQ19" s="243">
        <f t="shared" si="13"/>
        <v>41363.011999999995</v>
      </c>
      <c r="AR19" s="243">
        <f t="shared" si="1"/>
        <v>25056.453137123739</v>
      </c>
    </row>
    <row r="20" spans="1:44" ht="15" x14ac:dyDescent="0.25">
      <c r="A20" s="557"/>
      <c r="B20" s="249" t="s">
        <v>526</v>
      </c>
      <c r="C20" s="249"/>
      <c r="D20" s="249" t="s">
        <v>614</v>
      </c>
      <c r="E20" s="249" t="s">
        <v>387</v>
      </c>
      <c r="F20" s="249"/>
      <c r="G20" s="260">
        <v>43609</v>
      </c>
      <c r="H20" s="252">
        <v>10</v>
      </c>
      <c r="I20" s="249">
        <v>8</v>
      </c>
      <c r="J20" s="570"/>
      <c r="K20" s="570"/>
      <c r="L20" s="384"/>
      <c r="M20" s="422">
        <f>[4]CBA!M20</f>
        <v>86</v>
      </c>
      <c r="N20" s="422">
        <f>[4]CBA!N20</f>
        <v>10</v>
      </c>
      <c r="O20" s="422">
        <f>[4]CBA!O20</f>
        <v>172</v>
      </c>
      <c r="P20" s="422">
        <f>[4]CBA!P20</f>
        <v>688</v>
      </c>
      <c r="Q20" s="422">
        <f>[4]CBA!Q20</f>
        <v>20829.714285714286</v>
      </c>
      <c r="R20" s="422">
        <f>[4]CBA!R20</f>
        <v>13416</v>
      </c>
      <c r="S20" s="576">
        <f t="shared" si="14"/>
        <v>1033.72</v>
      </c>
      <c r="T20" s="576">
        <f t="shared" si="15"/>
        <v>5789.5199999999995</v>
      </c>
      <c r="U20" s="578">
        <f t="shared" si="16"/>
        <v>0.18181818181818182</v>
      </c>
      <c r="V20" s="390">
        <f t="shared" si="17"/>
        <v>90.909090909090907</v>
      </c>
      <c r="W20" s="576">
        <f t="shared" si="18"/>
        <v>15.636363636363637</v>
      </c>
      <c r="X20" s="576">
        <f t="shared" si="19"/>
        <v>62.545454545454547</v>
      </c>
      <c r="Y20" s="576">
        <f t="shared" si="20"/>
        <v>187.94909090909093</v>
      </c>
      <c r="Z20" s="576">
        <f t="shared" si="21"/>
        <v>1052.6399999999999</v>
      </c>
      <c r="AA20" s="576">
        <f t="shared" si="22"/>
        <v>1240.5890909090908</v>
      </c>
      <c r="AB20" s="579">
        <f t="shared" si="23"/>
        <v>42400.452467532465</v>
      </c>
      <c r="AC20" s="580">
        <f>[4]CBA!AC20</f>
        <v>722</v>
      </c>
      <c r="AD20" s="558">
        <f>[4]CBA!AD20</f>
        <v>8</v>
      </c>
      <c r="AE20" s="231">
        <f t="shared" si="2"/>
        <v>5776</v>
      </c>
      <c r="AF20" s="236">
        <f t="shared" si="3"/>
        <v>8678.44</v>
      </c>
      <c r="AG20" s="236">
        <f t="shared" si="4"/>
        <v>97210.079999999987</v>
      </c>
      <c r="AH20" s="239">
        <f t="shared" si="5"/>
        <v>105888.51999999999</v>
      </c>
      <c r="AI20" s="240">
        <f t="shared" si="6"/>
        <v>0.05</v>
      </c>
      <c r="AJ20" s="241">
        <f t="shared" si="7"/>
        <v>36.1</v>
      </c>
      <c r="AK20" s="241">
        <f t="shared" si="8"/>
        <v>288.8</v>
      </c>
      <c r="AL20" s="239">
        <f t="shared" si="9"/>
        <v>5294.4259999999995</v>
      </c>
      <c r="AM20" s="239">
        <f t="shared" si="10"/>
        <v>433.92200000000003</v>
      </c>
      <c r="AN20" s="239">
        <f t="shared" si="11"/>
        <v>4860.5039999999999</v>
      </c>
      <c r="AO20" s="242">
        <f t="shared" si="12"/>
        <v>148288.97246753244</v>
      </c>
      <c r="AP20" s="172">
        <f t="shared" si="0"/>
        <v>131982.41360465618</v>
      </c>
      <c r="AQ20" s="243">
        <f t="shared" si="13"/>
        <v>47694.878467532464</v>
      </c>
      <c r="AR20" s="243">
        <f t="shared" si="1"/>
        <v>31388.319604656208</v>
      </c>
    </row>
    <row r="21" spans="1:44" ht="15" x14ac:dyDescent="0.25">
      <c r="A21" s="557"/>
      <c r="B21" s="249" t="s">
        <v>526</v>
      </c>
      <c r="C21" s="249"/>
      <c r="D21" s="249" t="s">
        <v>615</v>
      </c>
      <c r="E21" s="249" t="s">
        <v>409</v>
      </c>
      <c r="F21" s="249"/>
      <c r="G21" s="260">
        <v>43616</v>
      </c>
      <c r="H21" s="252">
        <v>5</v>
      </c>
      <c r="I21" s="249">
        <v>5</v>
      </c>
      <c r="J21" s="570"/>
      <c r="K21" s="570"/>
      <c r="L21" s="384"/>
      <c r="M21" s="422">
        <f>[4]CBA!M21</f>
        <v>621</v>
      </c>
      <c r="N21" s="422">
        <f>[4]CBA!N21</f>
        <v>8</v>
      </c>
      <c r="O21" s="422">
        <f>[4]CBA!O21</f>
        <v>1242</v>
      </c>
      <c r="P21" s="422">
        <f>[4]CBA!P21</f>
        <v>4968</v>
      </c>
      <c r="Q21" s="422">
        <f>[4]CBA!Q21</f>
        <v>40976.399999999994</v>
      </c>
      <c r="R21" s="422">
        <f>[4]CBA!R21</f>
        <v>17360</v>
      </c>
      <c r="S21" s="576">
        <f t="shared" si="14"/>
        <v>7464.42</v>
      </c>
      <c r="T21" s="576">
        <f t="shared" si="15"/>
        <v>41805.719999999994</v>
      </c>
      <c r="U21" s="578">
        <f t="shared" si="16"/>
        <v>0.14545454545454545</v>
      </c>
      <c r="V21" s="390">
        <f t="shared" si="17"/>
        <v>72.72727272727272</v>
      </c>
      <c r="W21" s="576">
        <f t="shared" si="18"/>
        <v>90.327272727272728</v>
      </c>
      <c r="X21" s="576">
        <f t="shared" si="19"/>
        <v>361.30909090909091</v>
      </c>
      <c r="Y21" s="576">
        <f t="shared" si="20"/>
        <v>1085.7338181818182</v>
      </c>
      <c r="Z21" s="576">
        <f t="shared" si="21"/>
        <v>6080.8319999999994</v>
      </c>
      <c r="AA21" s="576">
        <f t="shared" si="22"/>
        <v>7166.565818181818</v>
      </c>
      <c r="AB21" s="579">
        <f t="shared" si="23"/>
        <v>114845.83309090907</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114845.83309090907</v>
      </c>
      <c r="AP21" s="172">
        <f t="shared" si="0"/>
        <v>106692.55365947094</v>
      </c>
      <c r="AQ21" s="243">
        <f t="shared" si="13"/>
        <v>114845.83309090907</v>
      </c>
      <c r="AR21" s="243">
        <f t="shared" si="1"/>
        <v>106692.55365947094</v>
      </c>
    </row>
    <row r="22" spans="1:44" ht="15" x14ac:dyDescent="0.25">
      <c r="A22" s="555" t="s">
        <v>546</v>
      </c>
      <c r="B22" s="555" t="s">
        <v>526</v>
      </c>
      <c r="C22" s="266"/>
      <c r="D22" s="266" t="s">
        <v>616</v>
      </c>
      <c r="E22" s="266" t="s">
        <v>486</v>
      </c>
      <c r="F22" s="266"/>
      <c r="G22" s="268">
        <v>43623</v>
      </c>
      <c r="H22" s="269">
        <v>5</v>
      </c>
      <c r="I22" s="266">
        <v>5</v>
      </c>
      <c r="J22" s="349">
        <f>SUM(I22:I24)/(($K$8-$K$9)/$K$10)</f>
        <v>0.52173913043478259</v>
      </c>
      <c r="K22" s="571">
        <v>24840</v>
      </c>
      <c r="L22" s="351">
        <f>97212.3-K22</f>
        <v>72372.3</v>
      </c>
      <c r="M22" s="497">
        <f>[4]CBA!M22</f>
        <v>16</v>
      </c>
      <c r="N22" s="497">
        <f>[4]CBA!N22</f>
        <v>10</v>
      </c>
      <c r="O22" s="497">
        <f>[4]CBA!O22</f>
        <v>32</v>
      </c>
      <c r="P22" s="497">
        <f>[4]CBA!P22</f>
        <v>256</v>
      </c>
      <c r="Q22" s="497">
        <f>[4]CBA!Q22</f>
        <v>34377.919999999998</v>
      </c>
      <c r="R22" s="497">
        <f>[4]CBA!R22</f>
        <v>15792</v>
      </c>
      <c r="S22" s="575">
        <f t="shared" si="14"/>
        <v>192.32</v>
      </c>
      <c r="T22" s="575">
        <f t="shared" si="15"/>
        <v>2154.2399999999998</v>
      </c>
      <c r="U22" s="577">
        <f t="shared" si="16"/>
        <v>0.18181818181818182</v>
      </c>
      <c r="V22" s="364">
        <f t="shared" si="17"/>
        <v>90.909090909090907</v>
      </c>
      <c r="W22" s="575">
        <f t="shared" si="18"/>
        <v>2.9090909090909092</v>
      </c>
      <c r="X22" s="575">
        <f t="shared" si="19"/>
        <v>11.636363636363637</v>
      </c>
      <c r="Y22" s="575">
        <f t="shared" si="20"/>
        <v>34.967272727272729</v>
      </c>
      <c r="Z22" s="575">
        <f t="shared" si="21"/>
        <v>195.83999999999997</v>
      </c>
      <c r="AA22" s="575">
        <f t="shared" si="22"/>
        <v>230.8072727272727</v>
      </c>
      <c r="AB22" s="568">
        <f t="shared" si="23"/>
        <v>52838.196363636358</v>
      </c>
      <c r="AC22" s="417"/>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52838.196363636358</v>
      </c>
      <c r="AP22" s="172">
        <f t="shared" si="0"/>
        <v>44684.916932198234</v>
      </c>
      <c r="AQ22" s="243">
        <f t="shared" si="13"/>
        <v>52838.196363636358</v>
      </c>
      <c r="AR22" s="243">
        <f t="shared" si="1"/>
        <v>44684.916932198234</v>
      </c>
    </row>
    <row r="23" spans="1:44" s="408" customFormat="1" ht="15" x14ac:dyDescent="0.25">
      <c r="A23" s="555"/>
      <c r="B23" s="555" t="s">
        <v>526</v>
      </c>
      <c r="C23" s="266"/>
      <c r="D23" s="275" t="s">
        <v>617</v>
      </c>
      <c r="E23" s="266" t="s">
        <v>486</v>
      </c>
      <c r="F23" s="266"/>
      <c r="G23" s="268">
        <v>43637</v>
      </c>
      <c r="H23" s="269">
        <v>5</v>
      </c>
      <c r="I23" s="266">
        <v>5</v>
      </c>
      <c r="J23" s="567"/>
      <c r="K23" s="571"/>
      <c r="L23" s="351"/>
      <c r="M23" s="497">
        <f>[4]CBA!M23</f>
        <v>0</v>
      </c>
      <c r="N23" s="497">
        <f>[4]CBA!N23</f>
        <v>0</v>
      </c>
      <c r="O23" s="497">
        <f>[4]CBA!O23</f>
        <v>0</v>
      </c>
      <c r="P23" s="497">
        <f>[4]CBA!P23</f>
        <v>0</v>
      </c>
      <c r="Q23" s="497">
        <f>[4]CBA!Q23</f>
        <v>0</v>
      </c>
      <c r="R23" s="497">
        <f>[4]CBA!R23</f>
        <v>0</v>
      </c>
      <c r="S23" s="575">
        <f t="shared" si="14"/>
        <v>0</v>
      </c>
      <c r="T23" s="575">
        <f t="shared" si="15"/>
        <v>0</v>
      </c>
      <c r="U23" s="577">
        <f t="shared" si="16"/>
        <v>0</v>
      </c>
      <c r="V23" s="364">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-8153.2794314381272</v>
      </c>
      <c r="AQ23" s="243">
        <f t="shared" si="13"/>
        <v>0</v>
      </c>
      <c r="AR23" s="243">
        <f t="shared" si="1"/>
        <v>-8153.2794314381272</v>
      </c>
    </row>
    <row r="24" spans="1:44" ht="15" x14ac:dyDescent="0.25">
      <c r="A24" s="418"/>
      <c r="B24" s="555" t="s">
        <v>533</v>
      </c>
      <c r="C24" s="266"/>
      <c r="D24" s="266" t="s">
        <v>537</v>
      </c>
      <c r="E24" s="275"/>
      <c r="F24" s="275"/>
      <c r="G24" s="273"/>
      <c r="H24" s="274">
        <v>10</v>
      </c>
      <c r="I24" s="275">
        <v>10</v>
      </c>
      <c r="J24" s="419"/>
      <c r="K24" s="419"/>
      <c r="L24" s="423"/>
      <c r="M24" s="505"/>
      <c r="N24" s="505"/>
      <c r="O24" s="505"/>
      <c r="P24" s="505"/>
      <c r="Q24" s="519"/>
      <c r="R24" s="275"/>
      <c r="S24" s="575">
        <f t="shared" si="14"/>
        <v>0</v>
      </c>
      <c r="T24" s="575">
        <f t="shared" si="15"/>
        <v>0</v>
      </c>
      <c r="U24" s="577">
        <f t="shared" si="16"/>
        <v>0</v>
      </c>
      <c r="V24" s="364">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-16306.558862876254</v>
      </c>
      <c r="AQ24" s="243">
        <f t="shared" si="13"/>
        <v>0</v>
      </c>
      <c r="AR24" s="243">
        <f t="shared" si="1"/>
        <v>-16306.558862876254</v>
      </c>
    </row>
    <row r="25" spans="1:44" ht="15" x14ac:dyDescent="0.25">
      <c r="A25" s="557" t="s">
        <v>550</v>
      </c>
      <c r="B25" s="249" t="s">
        <v>533</v>
      </c>
      <c r="C25" s="249"/>
      <c r="D25" s="249" t="s">
        <v>537</v>
      </c>
      <c r="E25" s="249"/>
      <c r="F25" s="249"/>
      <c r="G25" s="260"/>
      <c r="H25" s="252">
        <v>20</v>
      </c>
      <c r="I25" s="249">
        <v>20</v>
      </c>
      <c r="J25" s="382">
        <f>SUM(I25:I27)/(($K$8-$K$9)/$K$10)</f>
        <v>0.52173913043478259</v>
      </c>
      <c r="K25" s="570">
        <v>24840</v>
      </c>
      <c r="L25" s="384">
        <f>17385.7-K25</f>
        <v>-7454.2999999999993</v>
      </c>
      <c r="M25" s="422"/>
      <c r="N25" s="422"/>
      <c r="O25" s="422"/>
      <c r="P25" s="422"/>
      <c r="Q25" s="422"/>
      <c r="R25" s="422"/>
      <c r="S25" s="576">
        <f t="shared" si="14"/>
        <v>0</v>
      </c>
      <c r="T25" s="576">
        <f t="shared" si="15"/>
        <v>0</v>
      </c>
      <c r="U25" s="578">
        <f t="shared" si="16"/>
        <v>0</v>
      </c>
      <c r="V25" s="390">
        <f t="shared" si="17"/>
        <v>0</v>
      </c>
      <c r="W25" s="576">
        <f t="shared" si="18"/>
        <v>0</v>
      </c>
      <c r="X25" s="576">
        <f t="shared" si="19"/>
        <v>0</v>
      </c>
      <c r="Y25" s="576">
        <f t="shared" si="20"/>
        <v>0</v>
      </c>
      <c r="Z25" s="576">
        <f t="shared" si="21"/>
        <v>0</v>
      </c>
      <c r="AA25" s="576">
        <f t="shared" si="22"/>
        <v>0</v>
      </c>
      <c r="AB25" s="579">
        <f t="shared" si="23"/>
        <v>0</v>
      </c>
      <c r="AC25" s="422"/>
      <c r="AD25" s="249"/>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-32613.117725752509</v>
      </c>
      <c r="AQ25" s="243">
        <f t="shared" si="13"/>
        <v>0</v>
      </c>
      <c r="AR25" s="243">
        <f t="shared" si="1"/>
        <v>-32613.117725752509</v>
      </c>
    </row>
    <row r="26" spans="1:44" s="408" customFormat="1" ht="15" x14ac:dyDescent="0.25">
      <c r="A26" s="557"/>
      <c r="B26" s="249" t="s">
        <v>526</v>
      </c>
      <c r="C26" s="249"/>
      <c r="D26" s="249" t="s">
        <v>537</v>
      </c>
      <c r="E26" s="249"/>
      <c r="F26" s="249"/>
      <c r="G26" s="260"/>
      <c r="H26" s="252">
        <v>0</v>
      </c>
      <c r="I26" s="249">
        <v>0</v>
      </c>
      <c r="J26" s="569"/>
      <c r="K26" s="570"/>
      <c r="L26" s="384"/>
      <c r="M26" s="264"/>
      <c r="N26" s="264"/>
      <c r="O26" s="264"/>
      <c r="P26" s="264"/>
      <c r="Q26" s="520"/>
      <c r="R26" s="264"/>
      <c r="S26" s="576">
        <f t="shared" si="14"/>
        <v>0</v>
      </c>
      <c r="T26" s="576">
        <f t="shared" si="15"/>
        <v>0</v>
      </c>
      <c r="U26" s="578">
        <f t="shared" si="16"/>
        <v>0</v>
      </c>
      <c r="V26" s="390">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264"/>
      <c r="N27" s="264"/>
      <c r="O27" s="264"/>
      <c r="P27" s="264"/>
      <c r="Q27" s="520"/>
      <c r="R27" s="264"/>
      <c r="S27" s="576">
        <f t="shared" si="14"/>
        <v>0</v>
      </c>
      <c r="T27" s="576">
        <f t="shared" si="15"/>
        <v>0</v>
      </c>
      <c r="U27" s="578">
        <f t="shared" si="16"/>
        <v>0</v>
      </c>
      <c r="V27" s="390">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55" t="s">
        <v>555</v>
      </c>
      <c r="B28" s="555" t="s">
        <v>533</v>
      </c>
      <c r="C28" s="266"/>
      <c r="D28" s="266" t="s">
        <v>537</v>
      </c>
      <c r="E28" s="266"/>
      <c r="F28" s="266"/>
      <c r="G28" s="561"/>
      <c r="H28" s="564">
        <v>20</v>
      </c>
      <c r="I28" s="559">
        <v>20</v>
      </c>
      <c r="J28" s="349">
        <f>SUM(I28:I30)/(($K$8-$K$9)/$K$10)</f>
        <v>0.52173913043478259</v>
      </c>
      <c r="K28" s="571">
        <v>0</v>
      </c>
      <c r="L28" s="351">
        <f>37818.2-K28</f>
        <v>37818.199999999997</v>
      </c>
      <c r="M28" s="417"/>
      <c r="N28" s="417"/>
      <c r="O28" s="417"/>
      <c r="P28" s="417"/>
      <c r="Q28" s="417"/>
      <c r="R28" s="417"/>
      <c r="S28" s="575">
        <f t="shared" si="14"/>
        <v>0</v>
      </c>
      <c r="T28" s="575">
        <f t="shared" si="15"/>
        <v>0</v>
      </c>
      <c r="U28" s="577">
        <f t="shared" si="16"/>
        <v>0</v>
      </c>
      <c r="V28" s="364">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-32613.117725752509</v>
      </c>
      <c r="AQ28" s="243">
        <f t="shared" si="13"/>
        <v>0</v>
      </c>
      <c r="AR28" s="243">
        <f t="shared" si="1"/>
        <v>-32613.117725752509</v>
      </c>
    </row>
    <row r="29" spans="1:44" s="408" customFormat="1" ht="15" x14ac:dyDescent="0.25">
      <c r="A29" s="555"/>
      <c r="B29" s="555" t="s">
        <v>526</v>
      </c>
      <c r="C29" s="266"/>
      <c r="D29" s="266" t="s">
        <v>618</v>
      </c>
      <c r="E29" s="266"/>
      <c r="F29" s="266"/>
      <c r="G29" s="268"/>
      <c r="H29" s="269">
        <v>0</v>
      </c>
      <c r="I29" s="266">
        <v>0</v>
      </c>
      <c r="J29" s="567"/>
      <c r="K29" s="571"/>
      <c r="L29" s="351"/>
      <c r="M29" s="497"/>
      <c r="N29" s="497"/>
      <c r="O29" s="497"/>
      <c r="P29" s="497"/>
      <c r="Q29" s="497"/>
      <c r="R29" s="497"/>
      <c r="S29" s="575">
        <f t="shared" si="14"/>
        <v>0</v>
      </c>
      <c r="T29" s="575">
        <f t="shared" si="15"/>
        <v>0</v>
      </c>
      <c r="U29" s="577">
        <f t="shared" si="16"/>
        <v>0</v>
      </c>
      <c r="V29" s="364">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505"/>
      <c r="N30" s="505"/>
      <c r="O30" s="505"/>
      <c r="P30" s="505"/>
      <c r="Q30" s="519"/>
      <c r="R30" s="275"/>
      <c r="S30" s="575">
        <f t="shared" si="14"/>
        <v>0</v>
      </c>
      <c r="T30" s="575">
        <f t="shared" si="15"/>
        <v>0</v>
      </c>
      <c r="U30" s="577">
        <f t="shared" si="16"/>
        <v>0</v>
      </c>
      <c r="V30" s="364">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557" t="s">
        <v>557</v>
      </c>
      <c r="B31" s="249" t="s">
        <v>533</v>
      </c>
      <c r="C31" s="249"/>
      <c r="D31" s="249" t="s">
        <v>537</v>
      </c>
      <c r="E31" s="249"/>
      <c r="F31" s="249"/>
      <c r="G31" s="260"/>
      <c r="H31" s="252">
        <v>20</v>
      </c>
      <c r="I31" s="249">
        <v>20</v>
      </c>
      <c r="J31" s="382">
        <f>SUM(I31:I33)/(($K$8-$K$9)/$K$10)</f>
        <v>0.52173913043478259</v>
      </c>
      <c r="K31" s="570">
        <v>0</v>
      </c>
      <c r="L31" s="384">
        <f>17031.7-K31</f>
        <v>17031.7</v>
      </c>
      <c r="M31" s="522"/>
      <c r="N31" s="522"/>
      <c r="O31" s="522"/>
      <c r="P31" s="522"/>
      <c r="Q31" s="522"/>
      <c r="R31" s="522"/>
      <c r="S31" s="576">
        <f t="shared" si="14"/>
        <v>0</v>
      </c>
      <c r="T31" s="576">
        <f t="shared" si="15"/>
        <v>0</v>
      </c>
      <c r="U31" s="578">
        <f t="shared" si="16"/>
        <v>0</v>
      </c>
      <c r="V31" s="390">
        <f t="shared" si="17"/>
        <v>0</v>
      </c>
      <c r="W31" s="576">
        <f t="shared" si="18"/>
        <v>0</v>
      </c>
      <c r="X31" s="576">
        <f t="shared" si="19"/>
        <v>0</v>
      </c>
      <c r="Y31" s="576">
        <f t="shared" si="20"/>
        <v>0</v>
      </c>
      <c r="Z31" s="576">
        <f t="shared" si="21"/>
        <v>0</v>
      </c>
      <c r="AA31" s="576">
        <f t="shared" si="22"/>
        <v>0</v>
      </c>
      <c r="AB31" s="579">
        <f t="shared" si="23"/>
        <v>0</v>
      </c>
      <c r="AC31" s="580"/>
      <c r="AD31" s="558"/>
      <c r="AE31" s="231">
        <f t="shared" si="2"/>
        <v>0</v>
      </c>
      <c r="AF31" s="236">
        <f t="shared" si="3"/>
        <v>0</v>
      </c>
      <c r="AG31" s="236">
        <f t="shared" si="4"/>
        <v>0</v>
      </c>
      <c r="AH31" s="239">
        <f t="shared" si="5"/>
        <v>0</v>
      </c>
      <c r="AI31" s="240">
        <f t="shared" si="6"/>
        <v>0.05</v>
      </c>
      <c r="AJ31" s="241">
        <f t="shared" si="7"/>
        <v>0</v>
      </c>
      <c r="AK31" s="241">
        <f t="shared" si="8"/>
        <v>0</v>
      </c>
      <c r="AL31" s="239">
        <f t="shared" si="9"/>
        <v>0</v>
      </c>
      <c r="AM31" s="239">
        <f t="shared" si="10"/>
        <v>0</v>
      </c>
      <c r="AN31" s="239">
        <f t="shared" si="11"/>
        <v>0</v>
      </c>
      <c r="AO31" s="242">
        <f t="shared" si="12"/>
        <v>0</v>
      </c>
      <c r="AP31" s="172">
        <f t="shared" si="0"/>
        <v>-32613.117725752509</v>
      </c>
      <c r="AQ31" s="243">
        <f t="shared" si="13"/>
        <v>0</v>
      </c>
      <c r="AR31" s="243">
        <f t="shared" si="1"/>
        <v>-32613.117725752509</v>
      </c>
    </row>
    <row r="32" spans="1:44" ht="15" x14ac:dyDescent="0.25">
      <c r="A32" s="557"/>
      <c r="B32" s="249" t="s">
        <v>526</v>
      </c>
      <c r="C32" s="249"/>
      <c r="D32" s="249" t="s">
        <v>618</v>
      </c>
      <c r="E32" s="249"/>
      <c r="F32" s="249"/>
      <c r="G32" s="260"/>
      <c r="H32" s="252">
        <v>0</v>
      </c>
      <c r="I32" s="249">
        <v>0</v>
      </c>
      <c r="J32" s="569"/>
      <c r="K32" s="570"/>
      <c r="L32" s="527"/>
      <c r="M32" s="520"/>
      <c r="N32" s="520"/>
      <c r="O32" s="520"/>
      <c r="P32" s="520"/>
      <c r="Q32" s="520"/>
      <c r="R32" s="520"/>
      <c r="S32" s="576">
        <f t="shared" si="14"/>
        <v>0</v>
      </c>
      <c r="T32" s="576">
        <f t="shared" si="15"/>
        <v>0</v>
      </c>
      <c r="U32" s="578">
        <f t="shared" si="16"/>
        <v>0</v>
      </c>
      <c r="V32" s="390">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557"/>
      <c r="B33" s="249"/>
      <c r="C33" s="249"/>
      <c r="D33" s="249"/>
      <c r="E33" s="249"/>
      <c r="F33" s="249"/>
      <c r="G33" s="260"/>
      <c r="H33" s="252"/>
      <c r="I33" s="249"/>
      <c r="J33" s="569"/>
      <c r="K33" s="570"/>
      <c r="L33" s="527"/>
      <c r="M33" s="249"/>
      <c r="N33" s="249"/>
      <c r="O33" s="249"/>
      <c r="P33" s="249"/>
      <c r="Q33" s="422"/>
      <c r="R33" s="249"/>
      <c r="S33" s="576">
        <f t="shared" si="14"/>
        <v>0</v>
      </c>
      <c r="T33" s="576">
        <f t="shared" si="15"/>
        <v>0</v>
      </c>
      <c r="U33" s="578">
        <f t="shared" si="16"/>
        <v>0</v>
      </c>
      <c r="V33" s="390">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55" t="s">
        <v>559</v>
      </c>
      <c r="B34" s="555" t="s">
        <v>533</v>
      </c>
      <c r="C34" s="266"/>
      <c r="D34" s="266" t="s">
        <v>619</v>
      </c>
      <c r="E34" s="266" t="s">
        <v>486</v>
      </c>
      <c r="F34" s="266"/>
      <c r="G34" s="268">
        <v>43749</v>
      </c>
      <c r="H34" s="269">
        <v>10</v>
      </c>
      <c r="I34" s="266">
        <v>10</v>
      </c>
      <c r="J34" s="349">
        <f>SUM(I34:I36)/(($K$8-$K$9)/$K$10)</f>
        <v>0.65217391304347827</v>
      </c>
      <c r="K34" s="571">
        <v>0</v>
      </c>
      <c r="L34" s="351">
        <f>19955.2-K34</f>
        <v>19955.2</v>
      </c>
      <c r="M34" s="417">
        <f>[4]CBA!M34</f>
        <v>0</v>
      </c>
      <c r="N34" s="417">
        <f>[4]CBA!N34</f>
        <v>5</v>
      </c>
      <c r="O34" s="417">
        <f>[4]CBA!O34</f>
        <v>0</v>
      </c>
      <c r="P34" s="417">
        <f>[4]CBA!P34</f>
        <v>0</v>
      </c>
      <c r="Q34" s="417">
        <f>[4]CBA!Q34</f>
        <v>0</v>
      </c>
      <c r="R34" s="417">
        <f>[4]CBA!R34</f>
        <v>0</v>
      </c>
      <c r="S34" s="575">
        <f t="shared" si="14"/>
        <v>0</v>
      </c>
      <c r="T34" s="575">
        <f t="shared" si="15"/>
        <v>0</v>
      </c>
      <c r="U34" s="577">
        <f t="shared" si="16"/>
        <v>9.0909090909090912E-2</v>
      </c>
      <c r="V34" s="364">
        <f t="shared" si="17"/>
        <v>0</v>
      </c>
      <c r="W34" s="575">
        <f t="shared" si="18"/>
        <v>0</v>
      </c>
      <c r="X34" s="575">
        <f t="shared" si="19"/>
        <v>0</v>
      </c>
      <c r="Y34" s="575">
        <f t="shared" si="20"/>
        <v>0</v>
      </c>
      <c r="Z34" s="575">
        <f t="shared" si="21"/>
        <v>0</v>
      </c>
      <c r="AA34" s="575">
        <f t="shared" si="22"/>
        <v>0</v>
      </c>
      <c r="AB34" s="568">
        <f t="shared" si="23"/>
        <v>0</v>
      </c>
      <c r="AC34" s="417">
        <f>[4]CBA!AC34</f>
        <v>2460</v>
      </c>
      <c r="AD34" s="417">
        <f>[4]CBA!AD34</f>
        <v>4</v>
      </c>
      <c r="AE34" s="231">
        <f t="shared" si="2"/>
        <v>9840</v>
      </c>
      <c r="AF34" s="236">
        <f t="shared" si="3"/>
        <v>29569.200000000001</v>
      </c>
      <c r="AG34" s="236">
        <f t="shared" si="4"/>
        <v>165607.19999999998</v>
      </c>
      <c r="AH34" s="239">
        <f t="shared" si="5"/>
        <v>195176.4</v>
      </c>
      <c r="AI34" s="240">
        <f t="shared" si="6"/>
        <v>0.05</v>
      </c>
      <c r="AJ34" s="241">
        <f t="shared" si="7"/>
        <v>123</v>
      </c>
      <c r="AK34" s="241">
        <f t="shared" si="8"/>
        <v>492</v>
      </c>
      <c r="AL34" s="239">
        <f t="shared" si="9"/>
        <v>9758.82</v>
      </c>
      <c r="AM34" s="239">
        <f t="shared" si="10"/>
        <v>1478.46</v>
      </c>
      <c r="AN34" s="239">
        <f t="shared" si="11"/>
        <v>8280.3599999999988</v>
      </c>
      <c r="AO34" s="242">
        <f t="shared" si="12"/>
        <v>195176.4</v>
      </c>
      <c r="AP34" s="172">
        <f t="shared" si="0"/>
        <v>178869.84113712373</v>
      </c>
      <c r="AQ34" s="243">
        <f t="shared" si="13"/>
        <v>9758.82</v>
      </c>
      <c r="AR34" s="243">
        <f t="shared" si="1"/>
        <v>-6547.7388628762546</v>
      </c>
    </row>
    <row r="35" spans="1:44" ht="15" x14ac:dyDescent="0.25">
      <c r="A35" s="555"/>
      <c r="B35" s="555" t="s">
        <v>533</v>
      </c>
      <c r="C35" s="266"/>
      <c r="D35" s="266" t="s">
        <v>620</v>
      </c>
      <c r="E35" s="266" t="s">
        <v>387</v>
      </c>
      <c r="F35" s="266"/>
      <c r="G35" s="268">
        <v>43777</v>
      </c>
      <c r="H35" s="269">
        <v>20</v>
      </c>
      <c r="I35" s="266">
        <v>15</v>
      </c>
      <c r="J35" s="349"/>
      <c r="K35" s="571"/>
      <c r="L35" s="351"/>
      <c r="M35" s="417">
        <f>[4]CBA!M35</f>
        <v>1</v>
      </c>
      <c r="N35" s="417">
        <f>[4]CBA!N35</f>
        <v>7</v>
      </c>
      <c r="O35" s="417">
        <f>[4]CBA!O35</f>
        <v>1</v>
      </c>
      <c r="P35" s="417">
        <f>[4]CBA!P35</f>
        <v>2</v>
      </c>
      <c r="Q35" s="417">
        <f>[4]CBA!Q35</f>
        <v>1952.56</v>
      </c>
      <c r="R35" s="417">
        <f>[4]CBA!R35</f>
        <v>2556</v>
      </c>
      <c r="S35" s="575">
        <f t="shared" si="14"/>
        <v>6.01</v>
      </c>
      <c r="T35" s="575">
        <f t="shared" si="15"/>
        <v>16.829999999999998</v>
      </c>
      <c r="U35" s="577">
        <f t="shared" si="16"/>
        <v>0.12727272727272726</v>
      </c>
      <c r="V35" s="364">
        <f t="shared" si="17"/>
        <v>63.636363636363633</v>
      </c>
      <c r="W35" s="575">
        <f t="shared" si="18"/>
        <v>0.12727272727272726</v>
      </c>
      <c r="X35" s="575">
        <f t="shared" si="19"/>
        <v>0.50909090909090904</v>
      </c>
      <c r="Y35" s="575">
        <f t="shared" si="20"/>
        <v>1.5298181818181815</v>
      </c>
      <c r="Z35" s="575">
        <f t="shared" si="21"/>
        <v>8.5679999999999978</v>
      </c>
      <c r="AA35" s="575">
        <f t="shared" si="22"/>
        <v>10.09781818181818</v>
      </c>
      <c r="AB35" s="568">
        <f t="shared" si="23"/>
        <v>4605.1341818181818</v>
      </c>
      <c r="AC35" s="417">
        <f>[4]CBA!AC35</f>
        <v>933</v>
      </c>
      <c r="AD35" s="417">
        <f>[4]CBA!AD35</f>
        <v>6</v>
      </c>
      <c r="AE35" s="231">
        <f t="shared" si="2"/>
        <v>5598</v>
      </c>
      <c r="AF35" s="236">
        <f t="shared" si="3"/>
        <v>11214.66</v>
      </c>
      <c r="AG35" s="236">
        <f t="shared" si="4"/>
        <v>94214.34</v>
      </c>
      <c r="AH35" s="239">
        <f t="shared" si="5"/>
        <v>105429</v>
      </c>
      <c r="AI35" s="240">
        <f t="shared" si="6"/>
        <v>0.05</v>
      </c>
      <c r="AJ35" s="241">
        <f t="shared" si="7"/>
        <v>46.650000000000006</v>
      </c>
      <c r="AK35" s="241">
        <f t="shared" si="8"/>
        <v>279.90000000000003</v>
      </c>
      <c r="AL35" s="239">
        <f t="shared" si="9"/>
        <v>5271.4500000000007</v>
      </c>
      <c r="AM35" s="239">
        <f t="shared" si="10"/>
        <v>560.73300000000006</v>
      </c>
      <c r="AN35" s="239">
        <f t="shared" si="11"/>
        <v>4710.7169999999996</v>
      </c>
      <c r="AO35" s="242">
        <f t="shared" si="12"/>
        <v>110034.13418181818</v>
      </c>
      <c r="AP35" s="172">
        <f t="shared" si="0"/>
        <v>77421.01645606567</v>
      </c>
      <c r="AQ35" s="243">
        <f t="shared" si="13"/>
        <v>9876.5841818181834</v>
      </c>
      <c r="AR35" s="243">
        <f t="shared" si="1"/>
        <v>-22736.533543934325</v>
      </c>
    </row>
    <row r="36" spans="1:44" ht="15" x14ac:dyDescent="0.25">
      <c r="A36" s="555"/>
      <c r="B36" s="555" t="s">
        <v>526</v>
      </c>
      <c r="C36" s="266"/>
      <c r="D36" s="266" t="s">
        <v>618</v>
      </c>
      <c r="E36" s="266"/>
      <c r="F36" s="266"/>
      <c r="G36" s="268"/>
      <c r="H36" s="269">
        <v>0</v>
      </c>
      <c r="I36" s="266">
        <v>0</v>
      </c>
      <c r="J36" s="349"/>
      <c r="K36" s="571"/>
      <c r="L36" s="351"/>
      <c r="M36" s="505"/>
      <c r="N36" s="505"/>
      <c r="O36" s="505"/>
      <c r="P36" s="505"/>
      <c r="Q36" s="417"/>
      <c r="R36" s="266"/>
      <c r="S36" s="575">
        <f t="shared" si="14"/>
        <v>0</v>
      </c>
      <c r="T36" s="575">
        <f t="shared" si="15"/>
        <v>0</v>
      </c>
      <c r="U36" s="577">
        <f t="shared" si="16"/>
        <v>0</v>
      </c>
      <c r="V36" s="364">
        <f t="shared" si="17"/>
        <v>0</v>
      </c>
      <c r="W36" s="575">
        <f t="shared" si="18"/>
        <v>0</v>
      </c>
      <c r="X36" s="575">
        <f t="shared" si="19"/>
        <v>0</v>
      </c>
      <c r="Y36" s="575">
        <f t="shared" si="20"/>
        <v>0</v>
      </c>
      <c r="Z36" s="575">
        <f t="shared" si="21"/>
        <v>0</v>
      </c>
      <c r="AA36" s="575">
        <f t="shared" si="22"/>
        <v>0</v>
      </c>
      <c r="AB36" s="568">
        <f t="shared" si="23"/>
        <v>0</v>
      </c>
      <c r="AC36" s="505"/>
      <c r="AD36" s="505"/>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555"/>
      <c r="B37" s="555"/>
      <c r="C37" s="266"/>
      <c r="D37" s="266"/>
      <c r="E37" s="266"/>
      <c r="F37" s="266"/>
      <c r="G37" s="268"/>
      <c r="H37" s="269"/>
      <c r="I37" s="266"/>
      <c r="J37" s="567"/>
      <c r="K37" s="571"/>
      <c r="L37" s="351"/>
      <c r="M37" s="266"/>
      <c r="N37" s="266"/>
      <c r="O37" s="266"/>
      <c r="P37" s="266"/>
      <c r="Q37" s="417"/>
      <c r="R37" s="266"/>
      <c r="S37" s="575">
        <f t="shared" si="14"/>
        <v>0</v>
      </c>
      <c r="T37" s="575">
        <f t="shared" si="15"/>
        <v>0</v>
      </c>
      <c r="U37" s="577">
        <f t="shared" si="16"/>
        <v>0</v>
      </c>
      <c r="V37" s="364">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57" t="s">
        <v>565</v>
      </c>
      <c r="B38" s="249" t="s">
        <v>533</v>
      </c>
      <c r="C38" s="249"/>
      <c r="D38" s="249" t="s">
        <v>620</v>
      </c>
      <c r="E38" s="249" t="s">
        <v>387</v>
      </c>
      <c r="F38" s="249"/>
      <c r="G38" s="260">
        <v>43777</v>
      </c>
      <c r="H38" s="252">
        <v>20</v>
      </c>
      <c r="I38" s="249">
        <v>5</v>
      </c>
      <c r="J38" s="382">
        <f>SUM(I38:I42)/(($K$8-$K$9)/$K$10)</f>
        <v>0.65217391304347827</v>
      </c>
      <c r="K38" s="570">
        <v>24840</v>
      </c>
      <c r="L38" s="384">
        <f>69207.2-K38</f>
        <v>44367.199999999997</v>
      </c>
      <c r="M38" s="422">
        <f>[4]CBA!M38</f>
        <v>1</v>
      </c>
      <c r="N38" s="422">
        <f>[4]CBA!N38</f>
        <v>7</v>
      </c>
      <c r="O38" s="422">
        <f>[4]CBA!O38</f>
        <v>1</v>
      </c>
      <c r="P38" s="422">
        <f>[4]CBA!P38</f>
        <v>2</v>
      </c>
      <c r="Q38" s="422">
        <f>[4]CBA!Q38</f>
        <v>1952.56</v>
      </c>
      <c r="R38" s="422">
        <f>[4]CBA!R38</f>
        <v>2556</v>
      </c>
      <c r="S38" s="576">
        <f t="shared" si="14"/>
        <v>6.01</v>
      </c>
      <c r="T38" s="576">
        <f t="shared" si="15"/>
        <v>16.829999999999998</v>
      </c>
      <c r="U38" s="578">
        <f t="shared" si="16"/>
        <v>0.12727272727272726</v>
      </c>
      <c r="V38" s="390">
        <f t="shared" si="17"/>
        <v>63.636363636363633</v>
      </c>
      <c r="W38" s="576">
        <f t="shared" si="18"/>
        <v>0.12727272727272726</v>
      </c>
      <c r="X38" s="576">
        <f t="shared" si="19"/>
        <v>0.50909090909090904</v>
      </c>
      <c r="Y38" s="576">
        <f t="shared" si="20"/>
        <v>1.5298181818181815</v>
      </c>
      <c r="Z38" s="576">
        <f t="shared" si="21"/>
        <v>8.5679999999999978</v>
      </c>
      <c r="AA38" s="576">
        <f t="shared" si="22"/>
        <v>10.09781818181818</v>
      </c>
      <c r="AB38" s="579">
        <f t="shared" si="23"/>
        <v>4605.1341818181818</v>
      </c>
      <c r="AC38" s="422">
        <f>[4]CBA!AC38</f>
        <v>933</v>
      </c>
      <c r="AD38" s="422">
        <f>[4]CBA!AD38</f>
        <v>6</v>
      </c>
      <c r="AE38" s="231">
        <f t="shared" si="2"/>
        <v>5598</v>
      </c>
      <c r="AF38" s="236">
        <f t="shared" si="3"/>
        <v>11214.66</v>
      </c>
      <c r="AG38" s="236">
        <f t="shared" si="4"/>
        <v>94214.34</v>
      </c>
      <c r="AH38" s="239">
        <f t="shared" si="5"/>
        <v>105429</v>
      </c>
      <c r="AI38" s="240">
        <f t="shared" si="6"/>
        <v>0.05</v>
      </c>
      <c r="AJ38" s="241">
        <f t="shared" si="7"/>
        <v>46.650000000000006</v>
      </c>
      <c r="AK38" s="241">
        <f t="shared" si="8"/>
        <v>279.90000000000003</v>
      </c>
      <c r="AL38" s="239">
        <f t="shared" si="9"/>
        <v>5271.4500000000007</v>
      </c>
      <c r="AM38" s="239">
        <f t="shared" si="10"/>
        <v>560.73300000000006</v>
      </c>
      <c r="AN38" s="239">
        <f t="shared" si="11"/>
        <v>4710.7169999999996</v>
      </c>
      <c r="AO38" s="242">
        <f t="shared" si="12"/>
        <v>110034.13418181818</v>
      </c>
      <c r="AP38" s="172">
        <f t="shared" si="0"/>
        <v>77421.01645606567</v>
      </c>
      <c r="AQ38" s="243">
        <f t="shared" si="13"/>
        <v>9876.5841818181834</v>
      </c>
      <c r="AR38" s="243">
        <f t="shared" si="1"/>
        <v>-22736.533543934325</v>
      </c>
    </row>
    <row r="39" spans="1:44" ht="15" x14ac:dyDescent="0.25">
      <c r="A39" s="557"/>
      <c r="B39" s="249" t="s">
        <v>526</v>
      </c>
      <c r="C39" s="249"/>
      <c r="D39" s="249" t="s">
        <v>562</v>
      </c>
      <c r="E39" s="249" t="s">
        <v>387</v>
      </c>
      <c r="F39" s="249"/>
      <c r="G39" s="260">
        <v>43784</v>
      </c>
      <c r="H39" s="252">
        <v>10</v>
      </c>
      <c r="I39" s="249">
        <v>10</v>
      </c>
      <c r="J39" s="382"/>
      <c r="K39" s="570"/>
      <c r="L39" s="384"/>
      <c r="M39" s="422">
        <f>[4]CBA!M39</f>
        <v>0</v>
      </c>
      <c r="N39" s="422">
        <f>[4]CBA!N39</f>
        <v>0</v>
      </c>
      <c r="O39" s="422">
        <f>[4]CBA!O39</f>
        <v>0</v>
      </c>
      <c r="P39" s="422">
        <f>[4]CBA!P39</f>
        <v>0</v>
      </c>
      <c r="Q39" s="422">
        <f>[4]CBA!Q39</f>
        <v>2481.8240000000001</v>
      </c>
      <c r="R39" s="422">
        <f>[4]CBA!R39</f>
        <v>2472</v>
      </c>
      <c r="S39" s="576">
        <f t="shared" si="14"/>
        <v>0</v>
      </c>
      <c r="T39" s="576">
        <f t="shared" si="15"/>
        <v>0</v>
      </c>
      <c r="U39" s="578">
        <f t="shared" si="16"/>
        <v>0</v>
      </c>
      <c r="V39" s="390">
        <f t="shared" si="17"/>
        <v>0</v>
      </c>
      <c r="W39" s="576">
        <f t="shared" si="18"/>
        <v>0</v>
      </c>
      <c r="X39" s="576">
        <f t="shared" si="19"/>
        <v>0</v>
      </c>
      <c r="Y39" s="576">
        <f t="shared" si="20"/>
        <v>0</v>
      </c>
      <c r="Z39" s="576">
        <f t="shared" si="21"/>
        <v>0</v>
      </c>
      <c r="AA39" s="576">
        <f t="shared" si="22"/>
        <v>0</v>
      </c>
      <c r="AB39" s="579">
        <f t="shared" si="23"/>
        <v>4953.8240000000005</v>
      </c>
      <c r="AC39" s="422">
        <f>[4]CBA!AC39</f>
        <v>1249</v>
      </c>
      <c r="AD39" s="422">
        <f>[4]CBA!AD39</f>
        <v>6</v>
      </c>
      <c r="AE39" s="231">
        <f t="shared" si="2"/>
        <v>7494</v>
      </c>
      <c r="AF39" s="236">
        <f t="shared" si="3"/>
        <v>15012.98</v>
      </c>
      <c r="AG39" s="236">
        <f t="shared" si="4"/>
        <v>126124.01999999999</v>
      </c>
      <c r="AH39" s="239">
        <f t="shared" si="5"/>
        <v>141137</v>
      </c>
      <c r="AI39" s="240">
        <f t="shared" si="6"/>
        <v>0.05</v>
      </c>
      <c r="AJ39" s="241">
        <f t="shared" si="7"/>
        <v>62.45</v>
      </c>
      <c r="AK39" s="241">
        <f t="shared" si="8"/>
        <v>374.70000000000005</v>
      </c>
      <c r="AL39" s="239">
        <f t="shared" si="9"/>
        <v>7056.85</v>
      </c>
      <c r="AM39" s="239">
        <f t="shared" si="10"/>
        <v>750.649</v>
      </c>
      <c r="AN39" s="239">
        <f t="shared" si="11"/>
        <v>6306.201</v>
      </c>
      <c r="AO39" s="242">
        <f t="shared" si="12"/>
        <v>146090.82399999999</v>
      </c>
      <c r="AP39" s="172">
        <f t="shared" si="0"/>
        <v>129784.26513712374</v>
      </c>
      <c r="AQ39" s="243">
        <f t="shared" si="13"/>
        <v>12010.674000000001</v>
      </c>
      <c r="AR39" s="243">
        <f t="shared" si="1"/>
        <v>-4295.8848628762535</v>
      </c>
    </row>
    <row r="40" spans="1:44" ht="15" x14ac:dyDescent="0.25">
      <c r="A40" s="557"/>
      <c r="B40" s="249" t="s">
        <v>533</v>
      </c>
      <c r="C40" s="249"/>
      <c r="D40" s="249" t="s">
        <v>394</v>
      </c>
      <c r="E40" s="249"/>
      <c r="F40" s="249"/>
      <c r="G40" s="260">
        <v>43791</v>
      </c>
      <c r="H40" s="252">
        <v>10</v>
      </c>
      <c r="I40" s="249">
        <v>10</v>
      </c>
      <c r="J40" s="382"/>
      <c r="K40" s="570"/>
      <c r="L40" s="384"/>
      <c r="M40" s="422">
        <f>[4]CBA!M40</f>
        <v>34</v>
      </c>
      <c r="N40" s="422">
        <f>[4]CBA!N40</f>
        <v>5</v>
      </c>
      <c r="O40" s="422">
        <f>[4]CBA!O40</f>
        <v>34</v>
      </c>
      <c r="P40" s="422">
        <f>[4]CBA!P40</f>
        <v>204</v>
      </c>
      <c r="Q40" s="422">
        <f>[4]CBA!Q40</f>
        <v>29374.719999999998</v>
      </c>
      <c r="R40" s="422">
        <f>[4]CBA!R40</f>
        <v>11644</v>
      </c>
      <c r="S40" s="576">
        <f t="shared" si="14"/>
        <v>204.34</v>
      </c>
      <c r="T40" s="576">
        <f t="shared" si="15"/>
        <v>1716.6599999999999</v>
      </c>
      <c r="U40" s="578">
        <f t="shared" si="16"/>
        <v>9.0909090909090912E-2</v>
      </c>
      <c r="V40" s="390">
        <f t="shared" si="17"/>
        <v>45.454545454545453</v>
      </c>
      <c r="W40" s="576">
        <f t="shared" si="18"/>
        <v>3.0909090909090908</v>
      </c>
      <c r="X40" s="576">
        <f t="shared" si="19"/>
        <v>12.363636363636363</v>
      </c>
      <c r="Y40" s="576">
        <f t="shared" si="20"/>
        <v>37.152727272727276</v>
      </c>
      <c r="Z40" s="576">
        <f t="shared" si="21"/>
        <v>208.07999999999998</v>
      </c>
      <c r="AA40" s="576">
        <f t="shared" si="22"/>
        <v>245.23272727272726</v>
      </c>
      <c r="AB40" s="579">
        <f t="shared" si="23"/>
        <v>43230.407272727272</v>
      </c>
      <c r="AC40" s="422">
        <f>[4]CBA!AC40</f>
        <v>575</v>
      </c>
      <c r="AD40" s="422">
        <f>[4]CBA!AD40</f>
        <v>6</v>
      </c>
      <c r="AE40" s="231">
        <f t="shared" si="2"/>
        <v>3450</v>
      </c>
      <c r="AF40" s="236">
        <f t="shared" si="3"/>
        <v>6911.5</v>
      </c>
      <c r="AG40" s="236">
        <f t="shared" si="4"/>
        <v>58063.499999999993</v>
      </c>
      <c r="AH40" s="239">
        <f t="shared" si="5"/>
        <v>64974.999999999993</v>
      </c>
      <c r="AI40" s="240">
        <f t="shared" si="6"/>
        <v>0.05</v>
      </c>
      <c r="AJ40" s="241">
        <f t="shared" si="7"/>
        <v>28.75</v>
      </c>
      <c r="AK40" s="241">
        <f t="shared" si="8"/>
        <v>172.5</v>
      </c>
      <c r="AL40" s="239">
        <f t="shared" si="9"/>
        <v>3248.75</v>
      </c>
      <c r="AM40" s="239">
        <f t="shared" si="10"/>
        <v>345.57500000000005</v>
      </c>
      <c r="AN40" s="239">
        <f t="shared" si="11"/>
        <v>2903.1749999999997</v>
      </c>
      <c r="AO40" s="242">
        <f t="shared" si="12"/>
        <v>108205.40727272726</v>
      </c>
      <c r="AP40" s="172">
        <f t="shared" si="0"/>
        <v>91898.848409851009</v>
      </c>
      <c r="AQ40" s="243">
        <f t="shared" si="13"/>
        <v>46479.157272727272</v>
      </c>
      <c r="AR40" s="243">
        <f t="shared" si="1"/>
        <v>30172.598409851016</v>
      </c>
    </row>
    <row r="41" spans="1:44" s="408" customFormat="1" ht="15" x14ac:dyDescent="0.25">
      <c r="A41" s="557"/>
      <c r="B41" s="249"/>
      <c r="C41" s="249"/>
      <c r="D41" s="249"/>
      <c r="E41" s="249"/>
      <c r="F41" s="249"/>
      <c r="G41" s="260"/>
      <c r="H41" s="252"/>
      <c r="I41" s="249"/>
      <c r="J41" s="569"/>
      <c r="K41" s="570"/>
      <c r="L41" s="384"/>
      <c r="M41" s="249"/>
      <c r="N41" s="249"/>
      <c r="O41" s="249"/>
      <c r="P41" s="249"/>
      <c r="Q41" s="422"/>
      <c r="R41" s="249"/>
      <c r="S41" s="576">
        <f t="shared" si="14"/>
        <v>0</v>
      </c>
      <c r="T41" s="576">
        <f t="shared" si="15"/>
        <v>0</v>
      </c>
      <c r="U41" s="578">
        <f t="shared" si="16"/>
        <v>0</v>
      </c>
      <c r="V41" s="390">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384"/>
      <c r="M42" s="250"/>
      <c r="N42" s="249"/>
      <c r="O42" s="249"/>
      <c r="P42" s="249"/>
      <c r="Q42" s="422"/>
      <c r="R42" s="249"/>
      <c r="S42" s="576">
        <f t="shared" si="14"/>
        <v>0</v>
      </c>
      <c r="T42" s="576">
        <f t="shared" si="15"/>
        <v>0</v>
      </c>
      <c r="U42" s="578">
        <f t="shared" si="16"/>
        <v>0</v>
      </c>
      <c r="V42" s="390">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55" t="s">
        <v>569</v>
      </c>
      <c r="B43" s="555" t="s">
        <v>526</v>
      </c>
      <c r="C43" s="266"/>
      <c r="D43" s="266" t="s">
        <v>621</v>
      </c>
      <c r="E43" s="559"/>
      <c r="F43" s="559"/>
      <c r="G43" s="268">
        <v>43482</v>
      </c>
      <c r="H43" s="564">
        <v>22</v>
      </c>
      <c r="I43" s="266">
        <v>12</v>
      </c>
      <c r="J43" s="349">
        <f>SUM(I43:I45)/(($K$8-$K$9)/$K$10)</f>
        <v>0.49565217391304345</v>
      </c>
      <c r="K43" s="571">
        <v>24840</v>
      </c>
      <c r="L43" s="351">
        <f>-38453-K43</f>
        <v>-63293</v>
      </c>
      <c r="M43" s="417">
        <f>[4]CBA!M43</f>
        <v>268</v>
      </c>
      <c r="N43" s="417">
        <f>[4]CBA!N43</f>
        <v>10</v>
      </c>
      <c r="O43" s="417">
        <f>[4]CBA!O43</f>
        <v>268</v>
      </c>
      <c r="P43" s="417">
        <f>[4]CBA!P43</f>
        <v>1072</v>
      </c>
      <c r="Q43" s="417">
        <f>[4]CBA!Q43</f>
        <v>61884.24</v>
      </c>
      <c r="R43" s="417">
        <f>[4]CBA!R43</f>
        <v>8696</v>
      </c>
      <c r="S43" s="575">
        <f t="shared" si="14"/>
        <v>1610.6799999999998</v>
      </c>
      <c r="T43" s="575">
        <f t="shared" si="15"/>
        <v>9020.8799999999992</v>
      </c>
      <c r="U43" s="577">
        <f t="shared" si="16"/>
        <v>0.18181818181818182</v>
      </c>
      <c r="V43" s="364">
        <f t="shared" si="17"/>
        <v>90.909090909090907</v>
      </c>
      <c r="W43" s="575">
        <f t="shared" si="18"/>
        <v>48.727272727272727</v>
      </c>
      <c r="X43" s="575">
        <f t="shared" si="19"/>
        <v>194.90909090909091</v>
      </c>
      <c r="Y43" s="575">
        <f t="shared" si="20"/>
        <v>585.70181818181811</v>
      </c>
      <c r="Z43" s="575">
        <f t="shared" si="21"/>
        <v>3280.3199999999997</v>
      </c>
      <c r="AA43" s="575">
        <f t="shared" si="22"/>
        <v>3866.0218181818177</v>
      </c>
      <c r="AB43" s="568">
        <f t="shared" si="23"/>
        <v>85168.730909090897</v>
      </c>
      <c r="AC43" s="417">
        <f>[4]CBA!AC43</f>
        <v>421</v>
      </c>
      <c r="AD43" s="417">
        <f>[4]CBA!AD43</f>
        <v>6</v>
      </c>
      <c r="AE43" s="231">
        <f t="shared" si="2"/>
        <v>2526</v>
      </c>
      <c r="AF43" s="236">
        <f t="shared" si="3"/>
        <v>5060.42</v>
      </c>
      <c r="AG43" s="236">
        <f t="shared" si="4"/>
        <v>42512.579999999994</v>
      </c>
      <c r="AH43" s="239">
        <f t="shared" si="5"/>
        <v>47572.999999999993</v>
      </c>
      <c r="AI43" s="240">
        <f t="shared" si="6"/>
        <v>0.05</v>
      </c>
      <c r="AJ43" s="241">
        <f t="shared" si="7"/>
        <v>21.05</v>
      </c>
      <c r="AK43" s="241">
        <f t="shared" si="8"/>
        <v>126.30000000000001</v>
      </c>
      <c r="AL43" s="239">
        <f t="shared" si="9"/>
        <v>2378.6499999999996</v>
      </c>
      <c r="AM43" s="239">
        <f t="shared" si="10"/>
        <v>253.02100000000002</v>
      </c>
      <c r="AN43" s="239">
        <f t="shared" si="11"/>
        <v>2125.6289999999999</v>
      </c>
      <c r="AO43" s="242">
        <f t="shared" si="12"/>
        <v>132741.7309090909</v>
      </c>
      <c r="AP43" s="172">
        <f t="shared" si="0"/>
        <v>96867.301410763146</v>
      </c>
      <c r="AQ43" s="243">
        <f t="shared" si="13"/>
        <v>87547.380909090891</v>
      </c>
      <c r="AR43" s="243">
        <f t="shared" si="1"/>
        <v>51672.951410763133</v>
      </c>
    </row>
    <row r="44" spans="1:44" ht="15" x14ac:dyDescent="0.25">
      <c r="A44" s="555"/>
      <c r="B44" s="555" t="s">
        <v>533</v>
      </c>
      <c r="C44" s="266"/>
      <c r="D44" s="266" t="s">
        <v>622</v>
      </c>
      <c r="E44" s="559"/>
      <c r="F44" s="559"/>
      <c r="G44" s="268">
        <v>43809</v>
      </c>
      <c r="H44" s="564">
        <v>7</v>
      </c>
      <c r="I44" s="266">
        <v>7</v>
      </c>
      <c r="J44" s="567"/>
      <c r="K44" s="571"/>
      <c r="L44" s="351"/>
      <c r="M44" s="417">
        <f>[4]CBA!M44</f>
        <v>48</v>
      </c>
      <c r="N44" s="417">
        <f>[4]CBA!N44</f>
        <v>7</v>
      </c>
      <c r="O44" s="417">
        <f>[4]CBA!O44</f>
        <v>48</v>
      </c>
      <c r="P44" s="417">
        <f>[4]CBA!P44</f>
        <v>192</v>
      </c>
      <c r="Q44" s="417">
        <f>[4]CBA!Q44</f>
        <v>13769.5872</v>
      </c>
      <c r="R44" s="417">
        <f>[4]CBA!R44</f>
        <v>4732</v>
      </c>
      <c r="S44" s="575">
        <f t="shared" si="14"/>
        <v>288.48</v>
      </c>
      <c r="T44" s="575">
        <f t="shared" si="15"/>
        <v>1615.6799999999998</v>
      </c>
      <c r="U44" s="577">
        <f t="shared" si="16"/>
        <v>0.12727272727272726</v>
      </c>
      <c r="V44" s="364">
        <f t="shared" si="17"/>
        <v>63.636363636363633</v>
      </c>
      <c r="W44" s="575">
        <f t="shared" si="18"/>
        <v>6.1090909090909085</v>
      </c>
      <c r="X44" s="575">
        <f t="shared" si="19"/>
        <v>24.436363636363634</v>
      </c>
      <c r="Y44" s="575">
        <f t="shared" si="20"/>
        <v>73.431272727272727</v>
      </c>
      <c r="Z44" s="575">
        <f t="shared" si="21"/>
        <v>411.2639999999999</v>
      </c>
      <c r="AA44" s="575">
        <f t="shared" si="22"/>
        <v>484.6952727272726</v>
      </c>
      <c r="AB44" s="568">
        <f t="shared" si="23"/>
        <v>20954.078836363638</v>
      </c>
      <c r="AC44" s="417">
        <v>0</v>
      </c>
      <c r="AD44" s="417">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20954.078836363638</v>
      </c>
      <c r="AP44" s="172">
        <f t="shared" si="0"/>
        <v>9539.4876323502613</v>
      </c>
      <c r="AQ44" s="243">
        <f t="shared" si="13"/>
        <v>20954.078836363638</v>
      </c>
      <c r="AR44" s="243">
        <f t="shared" si="1"/>
        <v>9539.4876323502613</v>
      </c>
    </row>
    <row r="45" spans="1:44" ht="15" x14ac:dyDescent="0.25">
      <c r="A45" s="555"/>
      <c r="B45" s="555"/>
      <c r="C45" s="266"/>
      <c r="D45" s="266"/>
      <c r="E45" s="559"/>
      <c r="F45" s="559"/>
      <c r="G45" s="268"/>
      <c r="H45" s="564"/>
      <c r="I45" s="266"/>
      <c r="J45" s="349"/>
      <c r="K45" s="571"/>
      <c r="L45" s="351"/>
      <c r="M45" s="417"/>
      <c r="N45" s="417"/>
      <c r="O45" s="417"/>
      <c r="P45" s="417"/>
      <c r="Q45" s="417"/>
      <c r="R45" s="417"/>
      <c r="S45" s="575"/>
      <c r="T45" s="575"/>
      <c r="U45" s="577"/>
      <c r="V45" s="364"/>
      <c r="W45" s="575"/>
      <c r="X45" s="575"/>
      <c r="Y45" s="575"/>
      <c r="Z45" s="575"/>
      <c r="AA45" s="575"/>
      <c r="AB45" s="568"/>
      <c r="AC45" s="417"/>
      <c r="AD45" s="417"/>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55"/>
      <c r="B46" s="555"/>
      <c r="C46" s="266"/>
      <c r="D46" s="266"/>
      <c r="E46" s="559"/>
      <c r="F46" s="559"/>
      <c r="G46" s="268"/>
      <c r="H46" s="564"/>
      <c r="I46" s="266"/>
      <c r="J46" s="349"/>
      <c r="K46" s="571"/>
      <c r="L46" s="351"/>
      <c r="M46" s="266"/>
      <c r="N46" s="266"/>
      <c r="O46" s="266"/>
      <c r="P46" s="266"/>
      <c r="Q46" s="417"/>
      <c r="R46" s="266"/>
      <c r="S46" s="575">
        <f t="shared" si="14"/>
        <v>0</v>
      </c>
      <c r="T46" s="575">
        <f t="shared" si="15"/>
        <v>0</v>
      </c>
      <c r="U46" s="577">
        <f t="shared" si="16"/>
        <v>0</v>
      </c>
      <c r="V46" s="364">
        <f t="shared" si="17"/>
        <v>0</v>
      </c>
      <c r="W46" s="575">
        <f t="shared" si="18"/>
        <v>0</v>
      </c>
      <c r="X46" s="575">
        <f t="shared" si="19"/>
        <v>0</v>
      </c>
      <c r="Y46" s="575">
        <f t="shared" si="20"/>
        <v>0</v>
      </c>
      <c r="Z46" s="575">
        <f t="shared" si="21"/>
        <v>0</v>
      </c>
      <c r="AA46" s="575">
        <f t="shared" si="22"/>
        <v>0</v>
      </c>
      <c r="AB46" s="568">
        <f t="shared" si="23"/>
        <v>0</v>
      </c>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557" t="s">
        <v>571</v>
      </c>
      <c r="B47" s="249" t="s">
        <v>526</v>
      </c>
      <c r="C47" s="558"/>
      <c r="D47" s="558" t="s">
        <v>513</v>
      </c>
      <c r="E47" s="558" t="s">
        <v>560</v>
      </c>
      <c r="F47" s="558"/>
      <c r="G47" s="260">
        <v>43847</v>
      </c>
      <c r="H47" s="566">
        <v>10</v>
      </c>
      <c r="I47" s="558">
        <v>8</v>
      </c>
      <c r="J47" s="382">
        <f>SUM(I47:I50)/(($K$8-$K$9)/$K$10)</f>
        <v>1.2521739130434781</v>
      </c>
      <c r="K47" s="570">
        <v>24840</v>
      </c>
      <c r="L47" s="384">
        <f>231131-K47</f>
        <v>206291</v>
      </c>
      <c r="M47" s="422">
        <f>[4]CBA!M47</f>
        <v>248</v>
      </c>
      <c r="N47" s="422">
        <f>[4]CBA!N47</f>
        <v>10</v>
      </c>
      <c r="O47" s="422">
        <f>[4]CBA!O47</f>
        <v>248</v>
      </c>
      <c r="P47" s="422">
        <f>[4]CBA!P47</f>
        <v>992</v>
      </c>
      <c r="Q47" s="422">
        <f>[4]CBA!Q47</f>
        <v>54750.479999999996</v>
      </c>
      <c r="R47" s="422">
        <f>[4]CBA!R47</f>
        <v>10864</v>
      </c>
      <c r="S47" s="576">
        <f t="shared" si="14"/>
        <v>1490.48</v>
      </c>
      <c r="T47" s="576">
        <f t="shared" si="15"/>
        <v>8347.6799999999985</v>
      </c>
      <c r="U47" s="578">
        <f t="shared" si="16"/>
        <v>0.18181818181818182</v>
      </c>
      <c r="V47" s="390">
        <f t="shared" si="17"/>
        <v>90.909090909090907</v>
      </c>
      <c r="W47" s="576">
        <f t="shared" si="18"/>
        <v>45.090909090909093</v>
      </c>
      <c r="X47" s="576">
        <f t="shared" si="19"/>
        <v>180.36363636363637</v>
      </c>
      <c r="Y47" s="576">
        <f t="shared" si="20"/>
        <v>541.99272727272728</v>
      </c>
      <c r="Z47" s="576">
        <f t="shared" si="21"/>
        <v>3035.52</v>
      </c>
      <c r="AA47" s="576">
        <f t="shared" si="22"/>
        <v>3577.5127272727273</v>
      </c>
      <c r="AB47" s="579">
        <f t="shared" si="23"/>
        <v>79121.061818181799</v>
      </c>
      <c r="AC47" s="422">
        <f>[4]CBA!AC47</f>
        <v>1255</v>
      </c>
      <c r="AD47" s="422">
        <f>[4]CBA!AD47</f>
        <v>6</v>
      </c>
      <c r="AE47" s="231">
        <f t="shared" si="2"/>
        <v>7530</v>
      </c>
      <c r="AF47" s="236">
        <f t="shared" si="3"/>
        <v>15085.1</v>
      </c>
      <c r="AG47" s="236">
        <f t="shared" si="4"/>
        <v>126729.9</v>
      </c>
      <c r="AH47" s="239">
        <f t="shared" si="5"/>
        <v>141815</v>
      </c>
      <c r="AI47" s="240">
        <f t="shared" si="6"/>
        <v>0.05</v>
      </c>
      <c r="AJ47" s="241">
        <f t="shared" si="7"/>
        <v>62.75</v>
      </c>
      <c r="AK47" s="241">
        <f t="shared" si="8"/>
        <v>376.5</v>
      </c>
      <c r="AL47" s="239">
        <f t="shared" si="9"/>
        <v>7090.75</v>
      </c>
      <c r="AM47" s="239">
        <f t="shared" si="10"/>
        <v>754.25500000000011</v>
      </c>
      <c r="AN47" s="239">
        <f t="shared" si="11"/>
        <v>6336.4949999999999</v>
      </c>
      <c r="AO47" s="242">
        <f t="shared" si="12"/>
        <v>220936.0618181818</v>
      </c>
      <c r="AP47" s="172">
        <f t="shared" si="0"/>
        <v>204629.50295530554</v>
      </c>
      <c r="AQ47" s="243">
        <f t="shared" si="13"/>
        <v>86211.811818181799</v>
      </c>
      <c r="AR47" s="243">
        <f t="shared" si="1"/>
        <v>69905.25295530555</v>
      </c>
    </row>
    <row r="48" spans="1:44" ht="15" x14ac:dyDescent="0.25">
      <c r="A48" s="557"/>
      <c r="B48" s="249" t="s">
        <v>533</v>
      </c>
      <c r="C48" s="558"/>
      <c r="D48" s="558" t="s">
        <v>623</v>
      </c>
      <c r="E48" s="558" t="s">
        <v>387</v>
      </c>
      <c r="F48" s="558"/>
      <c r="G48" s="260">
        <v>43847</v>
      </c>
      <c r="H48" s="566">
        <v>5</v>
      </c>
      <c r="I48" s="558">
        <v>35</v>
      </c>
      <c r="J48" s="382"/>
      <c r="K48" s="570"/>
      <c r="L48" s="384"/>
      <c r="M48" s="422">
        <f>[4]CBA!M48</f>
        <v>284</v>
      </c>
      <c r="N48" s="422">
        <f>[4]CBA!N48</f>
        <v>0</v>
      </c>
      <c r="O48" s="422">
        <f>[4]CBA!O48</f>
        <v>284</v>
      </c>
      <c r="P48" s="422">
        <f>[4]CBA!P48</f>
        <v>1136</v>
      </c>
      <c r="Q48" s="422">
        <f>[4]CBA!Q48</f>
        <v>393172.85714285716</v>
      </c>
      <c r="R48" s="422">
        <f>[4]CBA!R48</f>
        <v>8212</v>
      </c>
      <c r="S48" s="576">
        <f t="shared" si="14"/>
        <v>1706.84</v>
      </c>
      <c r="T48" s="576">
        <f t="shared" si="15"/>
        <v>9559.4399999999987</v>
      </c>
      <c r="U48" s="578">
        <f t="shared" si="16"/>
        <v>0</v>
      </c>
      <c r="V48" s="390">
        <f t="shared" si="17"/>
        <v>0</v>
      </c>
      <c r="W48" s="576">
        <f t="shared" si="18"/>
        <v>0</v>
      </c>
      <c r="X48" s="576">
        <f t="shared" si="19"/>
        <v>0</v>
      </c>
      <c r="Y48" s="576">
        <f t="shared" si="20"/>
        <v>0</v>
      </c>
      <c r="Z48" s="576">
        <f t="shared" si="21"/>
        <v>0</v>
      </c>
      <c r="AA48" s="576">
        <f t="shared" si="22"/>
        <v>0</v>
      </c>
      <c r="AB48" s="579">
        <f t="shared" si="23"/>
        <v>412651.13714285719</v>
      </c>
      <c r="AC48" s="422">
        <f>[4]CBA!AC48</f>
        <v>864</v>
      </c>
      <c r="AD48" s="422">
        <f>[4]CBA!AD48</f>
        <v>6</v>
      </c>
      <c r="AE48" s="231">
        <f t="shared" si="2"/>
        <v>5184</v>
      </c>
      <c r="AF48" s="236">
        <f t="shared" si="3"/>
        <v>10385.279999999999</v>
      </c>
      <c r="AG48" s="236">
        <f t="shared" si="4"/>
        <v>87246.719999999987</v>
      </c>
      <c r="AH48" s="239">
        <f t="shared" si="5"/>
        <v>97631.999999999985</v>
      </c>
      <c r="AI48" s="240">
        <f t="shared" si="6"/>
        <v>0.05</v>
      </c>
      <c r="AJ48" s="241">
        <f t="shared" si="7"/>
        <v>43.2</v>
      </c>
      <c r="AK48" s="241">
        <f t="shared" si="8"/>
        <v>259.2</v>
      </c>
      <c r="AL48" s="239">
        <f t="shared" si="9"/>
        <v>4881.5999999999995</v>
      </c>
      <c r="AM48" s="239">
        <f t="shared" si="10"/>
        <v>519.26400000000001</v>
      </c>
      <c r="AN48" s="239">
        <f t="shared" si="11"/>
        <v>4362.3359999999993</v>
      </c>
      <c r="AO48" s="242">
        <f t="shared" si="12"/>
        <v>510283.13714285719</v>
      </c>
      <c r="AP48" s="172">
        <f t="shared" si="0"/>
        <v>502129.85771141906</v>
      </c>
      <c r="AQ48" s="243">
        <f t="shared" si="13"/>
        <v>417532.73714285716</v>
      </c>
      <c r="AR48" s="243">
        <f t="shared" si="1"/>
        <v>409379.45771141903</v>
      </c>
    </row>
    <row r="49" spans="1:44" ht="15" x14ac:dyDescent="0.25">
      <c r="A49" s="557"/>
      <c r="B49" s="249" t="s">
        <v>526</v>
      </c>
      <c r="C49" s="558"/>
      <c r="D49" s="558" t="s">
        <v>624</v>
      </c>
      <c r="E49" s="558" t="s">
        <v>387</v>
      </c>
      <c r="F49" s="558"/>
      <c r="G49" s="260">
        <v>43854</v>
      </c>
      <c r="H49" s="566">
        <v>5</v>
      </c>
      <c r="I49" s="558">
        <v>5</v>
      </c>
      <c r="J49" s="382"/>
      <c r="K49" s="570"/>
      <c r="L49" s="384"/>
      <c r="M49" s="422">
        <f>[4]CBA!M49</f>
        <v>22</v>
      </c>
      <c r="N49" s="422">
        <f>[4]CBA!N49</f>
        <v>5</v>
      </c>
      <c r="O49" s="422">
        <f>[4]CBA!O49</f>
        <v>22</v>
      </c>
      <c r="P49" s="422">
        <f>[4]CBA!P49</f>
        <v>88</v>
      </c>
      <c r="Q49" s="422">
        <f>[4]CBA!Q49</f>
        <v>24398.352941176472</v>
      </c>
      <c r="R49" s="422">
        <f>[4]CBA!R49</f>
        <v>3644</v>
      </c>
      <c r="S49" s="576">
        <f t="shared" si="14"/>
        <v>132.22</v>
      </c>
      <c r="T49" s="576">
        <f t="shared" si="15"/>
        <v>740.52</v>
      </c>
      <c r="U49" s="578">
        <f t="shared" si="16"/>
        <v>9.0909090909090912E-2</v>
      </c>
      <c r="V49" s="390">
        <f t="shared" si="17"/>
        <v>45.454545454545453</v>
      </c>
      <c r="W49" s="576">
        <f t="shared" si="18"/>
        <v>2</v>
      </c>
      <c r="X49" s="576">
        <f t="shared" si="19"/>
        <v>8</v>
      </c>
      <c r="Y49" s="576">
        <f t="shared" si="20"/>
        <v>24.04</v>
      </c>
      <c r="Z49" s="576">
        <f t="shared" si="21"/>
        <v>134.63999999999999</v>
      </c>
      <c r="AA49" s="576">
        <f t="shared" si="22"/>
        <v>158.67999999999998</v>
      </c>
      <c r="AB49" s="579">
        <f t="shared" si="23"/>
        <v>29119.227486631018</v>
      </c>
      <c r="AC49" s="422">
        <f>[4]CBA!AC49</f>
        <v>2460</v>
      </c>
      <c r="AD49" s="422">
        <f>[4]CBA!AD49</f>
        <v>6</v>
      </c>
      <c r="AE49" s="231">
        <f t="shared" si="2"/>
        <v>14760</v>
      </c>
      <c r="AF49" s="236">
        <f t="shared" si="3"/>
        <v>29569.200000000001</v>
      </c>
      <c r="AG49" s="236">
        <f t="shared" si="4"/>
        <v>248410.8</v>
      </c>
      <c r="AH49" s="239">
        <f t="shared" si="5"/>
        <v>277980</v>
      </c>
      <c r="AI49" s="240">
        <f t="shared" si="6"/>
        <v>0.05</v>
      </c>
      <c r="AJ49" s="241">
        <f t="shared" si="7"/>
        <v>123</v>
      </c>
      <c r="AK49" s="241">
        <f t="shared" si="8"/>
        <v>738</v>
      </c>
      <c r="AL49" s="239">
        <f t="shared" si="9"/>
        <v>13899</v>
      </c>
      <c r="AM49" s="239">
        <f t="shared" si="10"/>
        <v>1478.46</v>
      </c>
      <c r="AN49" s="239">
        <f t="shared" si="11"/>
        <v>12420.54</v>
      </c>
      <c r="AO49" s="242">
        <f t="shared" si="12"/>
        <v>307099.22748663102</v>
      </c>
      <c r="AP49" s="172">
        <f t="shared" si="0"/>
        <v>298945.94805519289</v>
      </c>
      <c r="AQ49" s="243">
        <f t="shared" si="13"/>
        <v>43018.227486631018</v>
      </c>
      <c r="AR49" s="243">
        <f t="shared" si="1"/>
        <v>34864.948055192894</v>
      </c>
    </row>
    <row r="50" spans="1:44" ht="15" x14ac:dyDescent="0.25">
      <c r="A50" s="557"/>
      <c r="B50" s="558"/>
      <c r="C50" s="558"/>
      <c r="D50" s="558"/>
      <c r="E50" s="558"/>
      <c r="F50" s="558"/>
      <c r="G50" s="260"/>
      <c r="H50" s="566"/>
      <c r="I50" s="558"/>
      <c r="J50" s="569"/>
      <c r="K50" s="570"/>
      <c r="L50" s="384"/>
      <c r="M50" s="249"/>
      <c r="N50" s="249"/>
      <c r="O50" s="249"/>
      <c r="P50" s="249"/>
      <c r="Q50" s="422"/>
      <c r="R50" s="249"/>
      <c r="S50" s="576">
        <f t="shared" si="14"/>
        <v>0</v>
      </c>
      <c r="T50" s="576">
        <f t="shared" si="15"/>
        <v>0</v>
      </c>
      <c r="U50" s="578">
        <f t="shared" si="16"/>
        <v>0</v>
      </c>
      <c r="V50" s="390">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55" t="s">
        <v>575</v>
      </c>
      <c r="B51" s="555" t="s">
        <v>526</v>
      </c>
      <c r="C51" s="559"/>
      <c r="D51" s="559" t="s">
        <v>625</v>
      </c>
      <c r="E51" s="559" t="s">
        <v>486</v>
      </c>
      <c r="F51" s="559"/>
      <c r="G51" s="561">
        <v>43875</v>
      </c>
      <c r="H51" s="564">
        <v>20</v>
      </c>
      <c r="I51" s="559">
        <v>20</v>
      </c>
      <c r="J51" s="349">
        <f>SUM(I51:I55)/(($K$8-$K$9)/$K$10)</f>
        <v>0.75652173913043474</v>
      </c>
      <c r="K51" s="571">
        <v>24840</v>
      </c>
      <c r="L51" s="351">
        <f>-50332-K51</f>
        <v>-75172</v>
      </c>
      <c r="M51" s="417">
        <f>[4]CBA!M51</f>
        <v>0</v>
      </c>
      <c r="N51" s="417">
        <f>[4]CBA!N51</f>
        <v>10</v>
      </c>
      <c r="O51" s="417">
        <f>[4]CBA!O51</f>
        <v>0</v>
      </c>
      <c r="P51" s="417">
        <f>[4]CBA!P51</f>
        <v>0</v>
      </c>
      <c r="Q51" s="417">
        <f>[4]CBA!Q51</f>
        <v>0</v>
      </c>
      <c r="R51" s="417">
        <f>[4]CBA!R51</f>
        <v>0</v>
      </c>
      <c r="S51" s="575">
        <f t="shared" si="14"/>
        <v>0</v>
      </c>
      <c r="T51" s="575">
        <f t="shared" si="15"/>
        <v>0</v>
      </c>
      <c r="U51" s="577">
        <f t="shared" si="16"/>
        <v>0.18181818181818182</v>
      </c>
      <c r="V51" s="364">
        <f t="shared" si="17"/>
        <v>0</v>
      </c>
      <c r="W51" s="575">
        <f t="shared" si="18"/>
        <v>0</v>
      </c>
      <c r="X51" s="575">
        <f t="shared" si="19"/>
        <v>0</v>
      </c>
      <c r="Y51" s="575">
        <f t="shared" si="20"/>
        <v>0</v>
      </c>
      <c r="Z51" s="575">
        <f t="shared" si="21"/>
        <v>0</v>
      </c>
      <c r="AA51" s="575">
        <f t="shared" si="22"/>
        <v>0</v>
      </c>
      <c r="AB51" s="568">
        <f t="shared" si="23"/>
        <v>0</v>
      </c>
      <c r="AC51" s="417">
        <f>[4]CBA!AC51</f>
        <v>2451</v>
      </c>
      <c r="AD51" s="417">
        <f>[4]CBA!AD51</f>
        <v>6</v>
      </c>
      <c r="AE51" s="231">
        <f t="shared" si="2"/>
        <v>14706</v>
      </c>
      <c r="AF51" s="236">
        <f t="shared" si="3"/>
        <v>29461.02</v>
      </c>
      <c r="AG51" s="236">
        <f t="shared" si="4"/>
        <v>247501.97999999998</v>
      </c>
      <c r="AH51" s="239">
        <f t="shared" si="5"/>
        <v>276963</v>
      </c>
      <c r="AI51" s="240">
        <f t="shared" si="6"/>
        <v>0.05</v>
      </c>
      <c r="AJ51" s="241">
        <f t="shared" si="7"/>
        <v>122.55000000000001</v>
      </c>
      <c r="AK51" s="241">
        <f t="shared" si="8"/>
        <v>735.30000000000007</v>
      </c>
      <c r="AL51" s="239">
        <f t="shared" si="9"/>
        <v>13848.150000000001</v>
      </c>
      <c r="AM51" s="239">
        <f t="shared" si="10"/>
        <v>1473.0510000000002</v>
      </c>
      <c r="AN51" s="239">
        <f t="shared" si="11"/>
        <v>12375.099</v>
      </c>
      <c r="AO51" s="242">
        <f t="shared" si="12"/>
        <v>276963</v>
      </c>
      <c r="AP51" s="172">
        <f t="shared" si="0"/>
        <v>244349.8822742475</v>
      </c>
      <c r="AQ51" s="243">
        <f t="shared" si="13"/>
        <v>13848.150000000001</v>
      </c>
      <c r="AR51" s="243">
        <f t="shared" si="1"/>
        <v>-18764.967725752507</v>
      </c>
    </row>
    <row r="52" spans="1:44" ht="15" x14ac:dyDescent="0.25">
      <c r="A52" s="555"/>
      <c r="B52" s="555" t="s">
        <v>533</v>
      </c>
      <c r="C52" s="559"/>
      <c r="D52" s="559" t="s">
        <v>626</v>
      </c>
      <c r="E52" s="559"/>
      <c r="F52" s="559"/>
      <c r="G52" s="561">
        <v>43889</v>
      </c>
      <c r="H52" s="564">
        <v>10</v>
      </c>
      <c r="I52" s="559">
        <v>9</v>
      </c>
      <c r="J52" s="349"/>
      <c r="K52" s="571"/>
      <c r="L52" s="351"/>
      <c r="M52" s="417">
        <f>[4]CBA!M52</f>
        <v>46</v>
      </c>
      <c r="N52" s="417">
        <f>[4]CBA!N52</f>
        <v>14</v>
      </c>
      <c r="O52" s="417">
        <f>[4]CBA!O52</f>
        <v>92</v>
      </c>
      <c r="P52" s="417">
        <f>[4]CBA!P52</f>
        <v>184</v>
      </c>
      <c r="Q52" s="417">
        <f>[4]CBA!Q52</f>
        <v>46248</v>
      </c>
      <c r="R52" s="417">
        <f>[4]CBA!R52</f>
        <v>9464</v>
      </c>
      <c r="S52" s="575">
        <f t="shared" si="14"/>
        <v>552.91999999999996</v>
      </c>
      <c r="T52" s="575">
        <f t="shared" si="15"/>
        <v>1548.36</v>
      </c>
      <c r="U52" s="577">
        <f t="shared" si="16"/>
        <v>0.25454545454545452</v>
      </c>
      <c r="V52" s="364">
        <f t="shared" si="17"/>
        <v>127.27272727272727</v>
      </c>
      <c r="W52" s="575">
        <f t="shared" si="18"/>
        <v>11.709090909090907</v>
      </c>
      <c r="X52" s="575">
        <f t="shared" si="19"/>
        <v>46.836363636363629</v>
      </c>
      <c r="Y52" s="575">
        <f t="shared" si="20"/>
        <v>140.74327272727271</v>
      </c>
      <c r="Z52" s="575">
        <f t="shared" si="21"/>
        <v>788.25599999999974</v>
      </c>
      <c r="AA52" s="575">
        <f t="shared" si="22"/>
        <v>928.99927272727246</v>
      </c>
      <c r="AB52" s="568">
        <f t="shared" si="23"/>
        <v>58869.551999999996</v>
      </c>
      <c r="AC52" s="417">
        <f>[4]CBA!AC52</f>
        <v>4629</v>
      </c>
      <c r="AD52" s="417">
        <f>[4]CBA!AD52</f>
        <v>6</v>
      </c>
      <c r="AE52" s="231">
        <f t="shared" si="2"/>
        <v>27774</v>
      </c>
      <c r="AF52" s="236">
        <f t="shared" si="3"/>
        <v>55640.579999999994</v>
      </c>
      <c r="AG52" s="236">
        <f t="shared" si="4"/>
        <v>467436.41999999993</v>
      </c>
      <c r="AH52" s="239">
        <f t="shared" si="5"/>
        <v>523076.99999999994</v>
      </c>
      <c r="AI52" s="240">
        <f t="shared" si="6"/>
        <v>0.05</v>
      </c>
      <c r="AJ52" s="241">
        <f t="shared" si="7"/>
        <v>231.45000000000002</v>
      </c>
      <c r="AK52" s="241">
        <f t="shared" si="8"/>
        <v>1388.7</v>
      </c>
      <c r="AL52" s="239">
        <f t="shared" si="9"/>
        <v>26153.85</v>
      </c>
      <c r="AM52" s="239">
        <f t="shared" si="10"/>
        <v>2782.029</v>
      </c>
      <c r="AN52" s="239">
        <f t="shared" si="11"/>
        <v>23371.820999999996</v>
      </c>
      <c r="AO52" s="242">
        <f t="shared" si="12"/>
        <v>581946.55199999991</v>
      </c>
      <c r="AP52" s="172">
        <f t="shared" si="0"/>
        <v>565639.99313712365</v>
      </c>
      <c r="AQ52" s="243">
        <f t="shared" si="13"/>
        <v>85023.402000000002</v>
      </c>
      <c r="AR52" s="243">
        <f t="shared" si="1"/>
        <v>68716.843137123753</v>
      </c>
    </row>
    <row r="53" spans="1:44" ht="15" x14ac:dyDescent="0.25">
      <c r="A53" s="555"/>
      <c r="B53" s="555"/>
      <c r="C53" s="266"/>
      <c r="D53" s="559"/>
      <c r="E53" s="559"/>
      <c r="F53" s="559"/>
      <c r="G53" s="561"/>
      <c r="H53" s="564"/>
      <c r="I53" s="559"/>
      <c r="J53" s="567"/>
      <c r="K53" s="571"/>
      <c r="L53" s="351"/>
      <c r="M53" s="417"/>
      <c r="N53" s="266"/>
      <c r="O53" s="417"/>
      <c r="P53" s="417"/>
      <c r="Q53" s="417"/>
      <c r="R53" s="266"/>
      <c r="S53" s="575">
        <f t="shared" si="14"/>
        <v>0</v>
      </c>
      <c r="T53" s="575">
        <f t="shared" si="15"/>
        <v>0</v>
      </c>
      <c r="U53" s="577">
        <f t="shared" si="16"/>
        <v>0</v>
      </c>
      <c r="V53" s="364">
        <f t="shared" si="17"/>
        <v>0</v>
      </c>
      <c r="W53" s="575">
        <f t="shared" si="18"/>
        <v>0</v>
      </c>
      <c r="X53" s="575">
        <f t="shared" si="19"/>
        <v>0</v>
      </c>
      <c r="Y53" s="575">
        <f t="shared" si="20"/>
        <v>0</v>
      </c>
      <c r="Z53" s="575">
        <f t="shared" si="21"/>
        <v>0</v>
      </c>
      <c r="AA53" s="575">
        <f t="shared" si="22"/>
        <v>0</v>
      </c>
      <c r="AB53" s="568">
        <f t="shared" si="23"/>
        <v>0</v>
      </c>
      <c r="AC53" s="417"/>
      <c r="AD53" s="266"/>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0</v>
      </c>
      <c r="AP53" s="172">
        <f t="shared" si="0"/>
        <v>0</v>
      </c>
      <c r="AQ53" s="243">
        <f t="shared" si="13"/>
        <v>0</v>
      </c>
      <c r="AR53" s="243">
        <f t="shared" si="1"/>
        <v>0</v>
      </c>
    </row>
    <row r="54" spans="1:44" ht="15" x14ac:dyDescent="0.25">
      <c r="A54" s="555"/>
      <c r="B54" s="555"/>
      <c r="C54" s="266"/>
      <c r="D54" s="559"/>
      <c r="E54" s="559"/>
      <c r="F54" s="559"/>
      <c r="G54" s="561"/>
      <c r="H54" s="564"/>
      <c r="I54" s="559"/>
      <c r="J54" s="567"/>
      <c r="K54" s="571"/>
      <c r="L54" s="351"/>
      <c r="M54" s="417"/>
      <c r="N54" s="266"/>
      <c r="O54" s="417"/>
      <c r="P54" s="417"/>
      <c r="Q54" s="417"/>
      <c r="R54" s="266"/>
      <c r="S54" s="575">
        <f t="shared" si="14"/>
        <v>0</v>
      </c>
      <c r="T54" s="575">
        <f t="shared" si="15"/>
        <v>0</v>
      </c>
      <c r="U54" s="577">
        <f t="shared" si="16"/>
        <v>0</v>
      </c>
      <c r="V54" s="364">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55"/>
      <c r="B55" s="555"/>
      <c r="C55" s="559"/>
      <c r="D55" s="559"/>
      <c r="E55" s="559"/>
      <c r="F55" s="559"/>
      <c r="G55" s="561"/>
      <c r="H55" s="564"/>
      <c r="I55" s="275"/>
      <c r="J55" s="571"/>
      <c r="K55" s="571"/>
      <c r="L55" s="351"/>
      <c r="M55" s="417"/>
      <c r="N55" s="266"/>
      <c r="O55" s="417"/>
      <c r="P55" s="417"/>
      <c r="Q55" s="417"/>
      <c r="R55" s="266"/>
      <c r="S55" s="575">
        <f t="shared" si="14"/>
        <v>0</v>
      </c>
      <c r="T55" s="575">
        <f t="shared" si="15"/>
        <v>0</v>
      </c>
      <c r="U55" s="577">
        <f t="shared" si="16"/>
        <v>0</v>
      </c>
      <c r="V55" s="364">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557" t="s">
        <v>578</v>
      </c>
      <c r="B56" s="249" t="s">
        <v>533</v>
      </c>
      <c r="C56" s="558"/>
      <c r="D56" s="558" t="s">
        <v>627</v>
      </c>
      <c r="E56" s="558"/>
      <c r="F56" s="558"/>
      <c r="G56" s="563">
        <v>43903</v>
      </c>
      <c r="H56" s="566">
        <v>5</v>
      </c>
      <c r="I56" s="558">
        <v>5</v>
      </c>
      <c r="J56" s="382">
        <f>SUM(I56:I60)/(($K$8-$K$9)/$K$10)</f>
        <v>0.86086956521739122</v>
      </c>
      <c r="K56" s="570">
        <v>24840</v>
      </c>
      <c r="L56" s="384">
        <f>54674.41-K56</f>
        <v>29834.410000000003</v>
      </c>
      <c r="M56" s="422">
        <f>[4]CBA!M56</f>
        <v>306</v>
      </c>
      <c r="N56" s="422">
        <f>[4]CBA!N56</f>
        <v>5</v>
      </c>
      <c r="O56" s="422">
        <f>[4]CBA!O56</f>
        <v>306</v>
      </c>
      <c r="P56" s="422">
        <f>[4]CBA!P56</f>
        <v>612</v>
      </c>
      <c r="Q56" s="422">
        <f>[4]CBA!Q56</f>
        <v>77785.42857142858</v>
      </c>
      <c r="R56" s="422">
        <f>[4]CBA!R56</f>
        <v>5866</v>
      </c>
      <c r="S56" s="576">
        <f t="shared" si="14"/>
        <v>1839.06</v>
      </c>
      <c r="T56" s="576">
        <f t="shared" si="15"/>
        <v>5149.9799999999996</v>
      </c>
      <c r="U56" s="578">
        <f t="shared" si="16"/>
        <v>9.0909090909090912E-2</v>
      </c>
      <c r="V56" s="390">
        <f t="shared" si="17"/>
        <v>45.454545454545453</v>
      </c>
      <c r="W56" s="576">
        <f t="shared" si="18"/>
        <v>27.81818181818182</v>
      </c>
      <c r="X56" s="576">
        <f t="shared" si="19"/>
        <v>111.27272727272728</v>
      </c>
      <c r="Y56" s="576">
        <f t="shared" si="20"/>
        <v>334.37454545454545</v>
      </c>
      <c r="Z56" s="576">
        <f t="shared" si="21"/>
        <v>1872.72</v>
      </c>
      <c r="AA56" s="576">
        <f t="shared" si="22"/>
        <v>2207.0945454545454</v>
      </c>
      <c r="AB56" s="579">
        <f t="shared" si="23"/>
        <v>92893.017662337661</v>
      </c>
      <c r="AC56" s="422">
        <f>[4]CBA!AC56</f>
        <v>280</v>
      </c>
      <c r="AD56" s="422">
        <f>[4]CBA!AD56</f>
        <v>3</v>
      </c>
      <c r="AE56" s="231">
        <f t="shared" si="2"/>
        <v>840</v>
      </c>
      <c r="AF56" s="236">
        <f t="shared" si="3"/>
        <v>3365.6</v>
      </c>
      <c r="AG56" s="236">
        <f t="shared" si="4"/>
        <v>14137.199999999999</v>
      </c>
      <c r="AH56" s="239">
        <f t="shared" si="5"/>
        <v>17502.8</v>
      </c>
      <c r="AI56" s="240">
        <f t="shared" si="6"/>
        <v>0.05</v>
      </c>
      <c r="AJ56" s="241">
        <f t="shared" si="7"/>
        <v>14</v>
      </c>
      <c r="AK56" s="241">
        <f t="shared" si="8"/>
        <v>42</v>
      </c>
      <c r="AL56" s="239">
        <f t="shared" si="9"/>
        <v>875.14</v>
      </c>
      <c r="AM56" s="239">
        <f t="shared" si="10"/>
        <v>168.28</v>
      </c>
      <c r="AN56" s="239">
        <f t="shared" si="11"/>
        <v>706.86</v>
      </c>
      <c r="AO56" s="242">
        <f t="shared" si="12"/>
        <v>110395.81766233766</v>
      </c>
      <c r="AP56" s="172">
        <f t="shared" si="0"/>
        <v>102242.53823089953</v>
      </c>
      <c r="AQ56" s="243">
        <f t="shared" si="13"/>
        <v>93768.15766233766</v>
      </c>
      <c r="AR56" s="243">
        <f t="shared" si="1"/>
        <v>85614.878230899529</v>
      </c>
    </row>
    <row r="57" spans="1:44" ht="15" x14ac:dyDescent="0.25">
      <c r="A57" s="557"/>
      <c r="B57" s="249" t="s">
        <v>526</v>
      </c>
      <c r="C57" s="558"/>
      <c r="D57" s="558" t="s">
        <v>628</v>
      </c>
      <c r="E57" s="558" t="s">
        <v>486</v>
      </c>
      <c r="F57" s="558"/>
      <c r="G57" s="563">
        <v>43903</v>
      </c>
      <c r="H57" s="566">
        <v>7</v>
      </c>
      <c r="I57" s="558">
        <v>7</v>
      </c>
      <c r="J57" s="382"/>
      <c r="K57" s="570"/>
      <c r="L57" s="384"/>
      <c r="M57" s="422">
        <f>[4]CBA!M57</f>
        <v>0</v>
      </c>
      <c r="N57" s="422">
        <f>[4]CBA!N57</f>
        <v>10</v>
      </c>
      <c r="O57" s="422">
        <f>[4]CBA!O57</f>
        <v>0</v>
      </c>
      <c r="P57" s="422">
        <f>[4]CBA!P57</f>
        <v>0</v>
      </c>
      <c r="Q57" s="422">
        <f>[4]CBA!Q57</f>
        <v>0</v>
      </c>
      <c r="R57" s="422">
        <f>[4]CBA!R57</f>
        <v>0</v>
      </c>
      <c r="S57" s="576">
        <f t="shared" si="14"/>
        <v>0</v>
      </c>
      <c r="T57" s="576">
        <f t="shared" si="15"/>
        <v>0</v>
      </c>
      <c r="U57" s="578">
        <f t="shared" si="16"/>
        <v>0.18181818181818182</v>
      </c>
      <c r="V57" s="390">
        <f t="shared" si="17"/>
        <v>0</v>
      </c>
      <c r="W57" s="576">
        <f t="shared" si="18"/>
        <v>0</v>
      </c>
      <c r="X57" s="576">
        <f t="shared" si="19"/>
        <v>0</v>
      </c>
      <c r="Y57" s="576">
        <f t="shared" si="20"/>
        <v>0</v>
      </c>
      <c r="Z57" s="576">
        <f t="shared" si="21"/>
        <v>0</v>
      </c>
      <c r="AA57" s="576">
        <f t="shared" si="22"/>
        <v>0</v>
      </c>
      <c r="AB57" s="579">
        <f t="shared" si="23"/>
        <v>0</v>
      </c>
      <c r="AC57" s="422">
        <f>[4]CBA!AC57</f>
        <v>0</v>
      </c>
      <c r="AD57" s="422">
        <f>[4]CBA!AD57</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-11414.591204013377</v>
      </c>
      <c r="AQ57" s="243">
        <f t="shared" si="13"/>
        <v>0</v>
      </c>
      <c r="AR57" s="243">
        <f t="shared" si="1"/>
        <v>-11414.591204013377</v>
      </c>
    </row>
    <row r="58" spans="1:44" ht="15" x14ac:dyDescent="0.25">
      <c r="A58" s="557"/>
      <c r="B58" s="558" t="s">
        <v>526</v>
      </c>
      <c r="C58" s="558"/>
      <c r="D58" s="558" t="s">
        <v>629</v>
      </c>
      <c r="E58" s="558" t="s">
        <v>486</v>
      </c>
      <c r="F58" s="558"/>
      <c r="G58" s="260">
        <v>43914</v>
      </c>
      <c r="H58" s="252">
        <v>4</v>
      </c>
      <c r="I58" s="558">
        <v>4</v>
      </c>
      <c r="J58" s="569"/>
      <c r="K58" s="570"/>
      <c r="L58" s="384"/>
      <c r="M58" s="422">
        <f>[4]CBA!M58</f>
        <v>0</v>
      </c>
      <c r="N58" s="422">
        <f>[4]CBA!N58</f>
        <v>5</v>
      </c>
      <c r="O58" s="422">
        <f>[4]CBA!O58</f>
        <v>0</v>
      </c>
      <c r="P58" s="422">
        <f>[4]CBA!P58</f>
        <v>0</v>
      </c>
      <c r="Q58" s="422">
        <f>[4]CBA!Q58</f>
        <v>0</v>
      </c>
      <c r="R58" s="422">
        <f>[4]CBA!R58</f>
        <v>0</v>
      </c>
      <c r="S58" s="576">
        <f t="shared" si="14"/>
        <v>0</v>
      </c>
      <c r="T58" s="576">
        <f t="shared" si="15"/>
        <v>0</v>
      </c>
      <c r="U58" s="578">
        <f t="shared" si="16"/>
        <v>9.0909090909090912E-2</v>
      </c>
      <c r="V58" s="390">
        <f t="shared" si="17"/>
        <v>0</v>
      </c>
      <c r="W58" s="576">
        <f t="shared" si="18"/>
        <v>0</v>
      </c>
      <c r="X58" s="576">
        <f t="shared" si="19"/>
        <v>0</v>
      </c>
      <c r="Y58" s="576">
        <f t="shared" si="20"/>
        <v>0</v>
      </c>
      <c r="Z58" s="576">
        <f t="shared" si="21"/>
        <v>0</v>
      </c>
      <c r="AA58" s="576">
        <f t="shared" si="22"/>
        <v>0</v>
      </c>
      <c r="AB58" s="579">
        <f t="shared" si="23"/>
        <v>0</v>
      </c>
      <c r="AC58" s="422">
        <f>[4]CBA!AC58</f>
        <v>2500</v>
      </c>
      <c r="AD58" s="422">
        <f>[4]CBA!AD58</f>
        <v>4</v>
      </c>
      <c r="AE58" s="231">
        <f t="shared" si="2"/>
        <v>10000</v>
      </c>
      <c r="AF58" s="236">
        <f t="shared" si="3"/>
        <v>30050</v>
      </c>
      <c r="AG58" s="236">
        <f t="shared" si="4"/>
        <v>168299.99999999997</v>
      </c>
      <c r="AH58" s="239">
        <f t="shared" si="5"/>
        <v>198349.99999999997</v>
      </c>
      <c r="AI58" s="240">
        <f t="shared" si="6"/>
        <v>0.05</v>
      </c>
      <c r="AJ58" s="241">
        <f t="shared" si="7"/>
        <v>125</v>
      </c>
      <c r="AK58" s="241">
        <f t="shared" si="8"/>
        <v>500</v>
      </c>
      <c r="AL58" s="239">
        <f t="shared" si="9"/>
        <v>9917.5</v>
      </c>
      <c r="AM58" s="239">
        <f t="shared" si="10"/>
        <v>1502.5</v>
      </c>
      <c r="AN58" s="239">
        <f t="shared" si="11"/>
        <v>8414.9999999999982</v>
      </c>
      <c r="AO58" s="242">
        <f t="shared" si="12"/>
        <v>198349.99999999997</v>
      </c>
      <c r="AP58" s="172">
        <f t="shared" si="0"/>
        <v>191827.37645484947</v>
      </c>
      <c r="AQ58" s="243">
        <f t="shared" si="13"/>
        <v>9917.5</v>
      </c>
      <c r="AR58" s="243">
        <f t="shared" si="1"/>
        <v>3394.8764548494983</v>
      </c>
    </row>
    <row r="59" spans="1:44" ht="15" x14ac:dyDescent="0.25">
      <c r="A59" s="557"/>
      <c r="B59" s="558" t="s">
        <v>526</v>
      </c>
      <c r="C59" s="558"/>
      <c r="D59" s="558" t="s">
        <v>630</v>
      </c>
      <c r="E59" s="558" t="s">
        <v>560</v>
      </c>
      <c r="F59" s="558"/>
      <c r="G59" s="260">
        <v>43924</v>
      </c>
      <c r="H59" s="252">
        <v>5</v>
      </c>
      <c r="I59" s="558">
        <v>5</v>
      </c>
      <c r="J59" s="569"/>
      <c r="K59" s="570"/>
      <c r="L59" s="384"/>
      <c r="M59" s="422">
        <f>[4]CBA!M59</f>
        <v>0</v>
      </c>
      <c r="N59" s="422">
        <f>[4]CBA!N59</f>
        <v>10</v>
      </c>
      <c r="O59" s="422">
        <f>[4]CBA!O59</f>
        <v>0</v>
      </c>
      <c r="P59" s="422">
        <f>[4]CBA!P59</f>
        <v>0</v>
      </c>
      <c r="Q59" s="422">
        <f>[4]CBA!Q59</f>
        <v>0</v>
      </c>
      <c r="R59" s="422">
        <f>[4]CBA!R59</f>
        <v>0</v>
      </c>
      <c r="S59" s="576"/>
      <c r="T59" s="576"/>
      <c r="U59" s="578"/>
      <c r="V59" s="390"/>
      <c r="W59" s="576"/>
      <c r="X59" s="576"/>
      <c r="Y59" s="576"/>
      <c r="Z59" s="576"/>
      <c r="AA59" s="576"/>
      <c r="AB59" s="579"/>
      <c r="AC59" s="422">
        <f>[4]CBA!AC59</f>
        <v>4000</v>
      </c>
      <c r="AD59" s="422">
        <f>[4]CBA!AD59</f>
        <v>3</v>
      </c>
      <c r="AE59" s="231">
        <f t="shared" si="2"/>
        <v>12000</v>
      </c>
      <c r="AF59" s="236">
        <f t="shared" si="3"/>
        <v>48080</v>
      </c>
      <c r="AG59" s="236">
        <f t="shared" si="4"/>
        <v>201959.99999999997</v>
      </c>
      <c r="AH59" s="239">
        <f t="shared" si="5"/>
        <v>250039.99999999997</v>
      </c>
      <c r="AI59" s="240">
        <f t="shared" si="6"/>
        <v>0.05</v>
      </c>
      <c r="AJ59" s="241">
        <f t="shared" si="7"/>
        <v>200</v>
      </c>
      <c r="AK59" s="241">
        <f t="shared" si="8"/>
        <v>600</v>
      </c>
      <c r="AL59" s="239">
        <f t="shared" si="9"/>
        <v>12502</v>
      </c>
      <c r="AM59" s="239">
        <f t="shared" si="10"/>
        <v>2404</v>
      </c>
      <c r="AN59" s="239">
        <f t="shared" si="11"/>
        <v>10098</v>
      </c>
      <c r="AO59" s="242">
        <f t="shared" si="12"/>
        <v>250039.99999999997</v>
      </c>
      <c r="AP59" s="172">
        <f t="shared" si="0"/>
        <v>241886.72056856184</v>
      </c>
      <c r="AQ59" s="243">
        <f t="shared" si="13"/>
        <v>12502</v>
      </c>
      <c r="AR59" s="243">
        <f t="shared" si="1"/>
        <v>4348.7205685618728</v>
      </c>
    </row>
    <row r="60" spans="1:44" ht="15" x14ac:dyDescent="0.25">
      <c r="A60" s="557"/>
      <c r="B60" s="558" t="s">
        <v>533</v>
      </c>
      <c r="C60" s="558"/>
      <c r="D60" s="558" t="s">
        <v>591</v>
      </c>
      <c r="E60" s="558" t="s">
        <v>387</v>
      </c>
      <c r="F60" s="558"/>
      <c r="G60" s="563">
        <v>43924</v>
      </c>
      <c r="H60" s="566">
        <v>12</v>
      </c>
      <c r="I60" s="558">
        <v>12</v>
      </c>
      <c r="J60" s="570"/>
      <c r="K60" s="570"/>
      <c r="L60" s="384"/>
      <c r="M60" s="422">
        <f>[4]CBA!M60</f>
        <v>12</v>
      </c>
      <c r="N60" s="422">
        <f>[4]CBA!N60</f>
        <v>10</v>
      </c>
      <c r="O60" s="422">
        <f>[4]CBA!O60</f>
        <v>24</v>
      </c>
      <c r="P60" s="422">
        <f>[4]CBA!P60</f>
        <v>144</v>
      </c>
      <c r="Q60" s="422">
        <f>[4]CBA!Q60</f>
        <v>38304</v>
      </c>
      <c r="R60" s="422">
        <f>[4]CBA!R60</f>
        <v>7208</v>
      </c>
      <c r="S60" s="576"/>
      <c r="T60" s="576"/>
      <c r="U60" s="578"/>
      <c r="V60" s="390"/>
      <c r="W60" s="576"/>
      <c r="X60" s="576"/>
      <c r="Y60" s="576"/>
      <c r="Z60" s="576"/>
      <c r="AA60" s="576"/>
      <c r="AB60" s="579"/>
      <c r="AC60" s="422">
        <f>[4]CBA!AC60</f>
        <v>1250</v>
      </c>
      <c r="AD60" s="422">
        <f>[4]CBA!AD60</f>
        <v>8</v>
      </c>
      <c r="AE60" s="231">
        <f t="shared" si="2"/>
        <v>10000</v>
      </c>
      <c r="AF60" s="236">
        <f t="shared" si="3"/>
        <v>15025</v>
      </c>
      <c r="AG60" s="236">
        <f t="shared" si="4"/>
        <v>168299.99999999997</v>
      </c>
      <c r="AH60" s="239">
        <f t="shared" si="5"/>
        <v>183324.99999999997</v>
      </c>
      <c r="AI60" s="240">
        <f t="shared" si="6"/>
        <v>0.05</v>
      </c>
      <c r="AJ60" s="241">
        <f t="shared" si="7"/>
        <v>62.5</v>
      </c>
      <c r="AK60" s="241">
        <f t="shared" si="8"/>
        <v>500</v>
      </c>
      <c r="AL60" s="239">
        <f t="shared" si="9"/>
        <v>9166.2499999999982</v>
      </c>
      <c r="AM60" s="239">
        <f t="shared" si="10"/>
        <v>751.25</v>
      </c>
      <c r="AN60" s="239">
        <f t="shared" si="11"/>
        <v>8414.9999999999982</v>
      </c>
      <c r="AO60" s="242">
        <f t="shared" si="12"/>
        <v>183324.99999999997</v>
      </c>
      <c r="AP60" s="172">
        <f t="shared" si="0"/>
        <v>163757.12936454845</v>
      </c>
      <c r="AQ60" s="243">
        <f t="shared" si="13"/>
        <v>9166.2499999999982</v>
      </c>
      <c r="AR60" s="243">
        <f t="shared" si="1"/>
        <v>-10401.620635451507</v>
      </c>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SUM(H14:H62)</f>
        <v>316</v>
      </c>
      <c r="I63" s="442">
        <f>SUM(I14:I62)</f>
        <v>299</v>
      </c>
      <c r="J63" s="443">
        <f>AVERAGEIF(J15:J62,"&lt;&gt;0")</f>
        <v>0.67114624505928855</v>
      </c>
      <c r="K63" s="444">
        <f>SUM(K14:K62)</f>
        <v>223560</v>
      </c>
      <c r="L63" s="444">
        <f>SUM(L14:L62)</f>
        <v>264006.11</v>
      </c>
      <c r="M63" s="143"/>
      <c r="N63" s="581">
        <f>SUM(N14:N62)</f>
        <v>191</v>
      </c>
      <c r="O63" s="143">
        <f t="shared" ref="O63:T63" si="24">SUM(O14:O62)</f>
        <v>4082</v>
      </c>
      <c r="P63" s="143">
        <f t="shared" si="24"/>
        <v>14092</v>
      </c>
      <c r="Q63" s="445">
        <f t="shared" si="24"/>
        <v>1052456.9275697479</v>
      </c>
      <c r="R63" s="445">
        <f t="shared" si="24"/>
        <v>170062</v>
      </c>
      <c r="S63" s="445">
        <f t="shared" si="24"/>
        <v>24388.579999999998</v>
      </c>
      <c r="T63" s="445">
        <f t="shared" si="24"/>
        <v>117372.42</v>
      </c>
      <c r="U63" s="445"/>
      <c r="V63" s="445">
        <f t="shared" ref="V63:AB63" si="25">SUM(V14:V62)</f>
        <v>1281.8181818181818</v>
      </c>
      <c r="W63" s="445">
        <f t="shared" si="25"/>
        <v>462.61818181818182</v>
      </c>
      <c r="X63" s="445">
        <f t="shared" si="25"/>
        <v>1850.4727272727273</v>
      </c>
      <c r="Y63" s="445">
        <f t="shared" si="25"/>
        <v>5560.6705454545445</v>
      </c>
      <c r="Z63" s="445">
        <f t="shared" si="25"/>
        <v>31143.455999999998</v>
      </c>
      <c r="AA63" s="445">
        <f t="shared" si="25"/>
        <v>36704.126545454543</v>
      </c>
      <c r="AB63" s="446">
        <f t="shared" si="25"/>
        <v>1356753.8722970206</v>
      </c>
      <c r="AC63" s="533"/>
      <c r="AD63" s="533"/>
      <c r="AE63" s="533"/>
      <c r="AF63" s="534"/>
      <c r="AG63" s="534"/>
      <c r="AH63" s="535">
        <f>SUM(AH14:AH62)</f>
        <v>3307199.92</v>
      </c>
      <c r="AI63" s="582">
        <f>SUM(AI14:AI62)</f>
        <v>2.3499999999999996</v>
      </c>
      <c r="AJ63" s="534">
        <f t="shared" ref="AJ63:AQ63" si="26">SUM(AJ14:AJ62)</f>
        <v>1545.1</v>
      </c>
      <c r="AK63" s="534">
        <f t="shared" si="26"/>
        <v>8721.7999999999993</v>
      </c>
      <c r="AL63" s="535">
        <f t="shared" si="26"/>
        <v>165359.99600000001</v>
      </c>
      <c r="AM63" s="535">
        <f t="shared" si="26"/>
        <v>18572.101999999999</v>
      </c>
      <c r="AN63" s="535">
        <f t="shared" si="26"/>
        <v>146787.894</v>
      </c>
      <c r="AO63" s="451">
        <f t="shared" si="26"/>
        <v>4663953.7922970206</v>
      </c>
      <c r="AP63" s="452">
        <f t="shared" si="26"/>
        <v>4148666.5322301309</v>
      </c>
      <c r="AQ63" s="537">
        <f t="shared" si="26"/>
        <v>1522113.8682970202</v>
      </c>
      <c r="AR63" s="537">
        <f>SUM(AR14:AR62)</f>
        <v>1006826.608230131</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299</v>
      </c>
      <c r="L66" s="529"/>
      <c r="O66" s="541" t="s">
        <v>417</v>
      </c>
      <c r="P66" s="541"/>
      <c r="Q66" s="541"/>
      <c r="R66" s="542">
        <f>Q63+R63+V63+AA63</f>
        <v>1260504.8722970206</v>
      </c>
      <c r="AF66" s="533" t="s">
        <v>418</v>
      </c>
      <c r="AG66" s="533"/>
      <c r="AH66" s="535">
        <f>AH63</f>
        <v>3307199.92</v>
      </c>
      <c r="AI66" s="535"/>
      <c r="AJ66" s="535"/>
      <c r="AK66" s="535"/>
      <c r="AL66" s="535">
        <f>SUM(AL14:AL62)</f>
        <v>165359.99600000001</v>
      </c>
      <c r="AM66" s="535"/>
      <c r="AN66" s="535"/>
      <c r="AO66" s="482"/>
      <c r="AP66" s="483"/>
    </row>
    <row r="67" spans="3:42" ht="15" x14ac:dyDescent="0.25">
      <c r="F67" s="483"/>
      <c r="G67" s="539" t="s">
        <v>516</v>
      </c>
      <c r="H67" s="540"/>
      <c r="I67" s="539"/>
      <c r="J67" s="539"/>
      <c r="K67" s="444">
        <f>K63+L63</f>
        <v>487566.11</v>
      </c>
      <c r="L67" s="482"/>
      <c r="O67" s="541" t="s">
        <v>420</v>
      </c>
      <c r="P67" s="541"/>
      <c r="Q67" s="541"/>
      <c r="R67" s="188">
        <f>R66/N63</f>
        <v>6599.5019491990606</v>
      </c>
      <c r="AB67" s="528"/>
      <c r="AF67" s="533" t="s">
        <v>421</v>
      </c>
      <c r="AG67" s="533"/>
      <c r="AH67" s="189">
        <f>AH66/I63</f>
        <v>11060.869297658863</v>
      </c>
      <c r="AI67" s="535"/>
      <c r="AJ67" s="535"/>
      <c r="AK67" s="535"/>
      <c r="AL67" s="189">
        <f>AL66/I63</f>
        <v>553.04346488294323</v>
      </c>
      <c r="AM67" s="189"/>
      <c r="AN67" s="189"/>
      <c r="AO67" s="482"/>
      <c r="AP67" s="483"/>
    </row>
    <row r="68" spans="3:42" ht="15" x14ac:dyDescent="0.25">
      <c r="F68" s="483"/>
      <c r="G68" s="539" t="s">
        <v>517</v>
      </c>
      <c r="H68" s="540"/>
      <c r="I68" s="539"/>
      <c r="J68" s="539"/>
      <c r="K68" s="444">
        <f>K67/K66</f>
        <v>1630.6558862876254</v>
      </c>
      <c r="L68" s="316"/>
      <c r="AH68" s="481"/>
      <c r="AI68" s="481"/>
      <c r="AJ68" s="481"/>
      <c r="AK68" s="481"/>
      <c r="AL68" s="482"/>
      <c r="AM68" s="482"/>
      <c r="AN68" s="482"/>
      <c r="AO68" s="482"/>
      <c r="AP68" s="483"/>
    </row>
    <row r="69" spans="3:42" x14ac:dyDescent="0.2">
      <c r="L69" s="479"/>
      <c r="O69" s="541" t="s">
        <v>423</v>
      </c>
      <c r="P69" s="541"/>
      <c r="Q69" s="541"/>
      <c r="R69" s="542">
        <f>S63+T63+AA63</f>
        <v>178465.12654545455</v>
      </c>
      <c r="U69" s="543"/>
      <c r="V69" s="544"/>
      <c r="W69" s="544"/>
      <c r="AH69" s="481"/>
      <c r="AI69" s="481"/>
      <c r="AJ69" s="481"/>
      <c r="AK69" s="481"/>
      <c r="AL69" s="482"/>
      <c r="AM69" s="482"/>
      <c r="AN69" s="482"/>
      <c r="AO69" s="482"/>
      <c r="AP69" s="483"/>
    </row>
    <row r="70" spans="3:42" ht="15" x14ac:dyDescent="0.25">
      <c r="G70" s="539" t="s">
        <v>518</v>
      </c>
      <c r="H70" s="540"/>
      <c r="I70" s="539"/>
      <c r="J70" s="539"/>
      <c r="K70" s="442">
        <v>460</v>
      </c>
      <c r="L70" s="479"/>
      <c r="O70" s="541" t="s">
        <v>421</v>
      </c>
      <c r="P70" s="541"/>
      <c r="Q70" s="541"/>
      <c r="R70" s="188">
        <f>R69/N63</f>
        <v>934.37239029033799</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0.67114624505928855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x14ac:dyDescent="0.25">
      <c r="C73"/>
      <c r="D73"/>
      <c r="E73"/>
      <c r="F73"/>
      <c r="G73"/>
      <c r="X73" s="483"/>
      <c r="Y73" s="483"/>
      <c r="Z73" s="483"/>
      <c r="AA73" s="545"/>
      <c r="AF73" s="483"/>
      <c r="AG73" s="483"/>
      <c r="AH73" s="482"/>
    </row>
    <row r="74" spans="3:42" ht="15" x14ac:dyDescent="0.25">
      <c r="C74"/>
      <c r="D74"/>
      <c r="E74"/>
      <c r="F74"/>
      <c r="G74"/>
      <c r="X74" s="483"/>
      <c r="Y74" s="483"/>
      <c r="Z74" s="483"/>
      <c r="AA74" s="545"/>
      <c r="AF74" s="483"/>
      <c r="AG74" s="483"/>
      <c r="AH74" s="482"/>
    </row>
    <row r="75" spans="3:42" ht="15.75" thickBot="1" x14ac:dyDescent="0.3">
      <c r="C75"/>
      <c r="D75"/>
      <c r="E75"/>
      <c r="F75"/>
      <c r="G75"/>
      <c r="X75" s="483"/>
      <c r="Y75" s="483"/>
      <c r="Z75" s="483"/>
      <c r="AA75" s="483"/>
    </row>
    <row r="76" spans="3:42" ht="15" x14ac:dyDescent="0.25">
      <c r="C76" s="202" t="s">
        <v>452</v>
      </c>
      <c r="D76" s="203"/>
      <c r="E76" s="214">
        <v>200</v>
      </c>
      <c r="F76"/>
      <c r="G76"/>
      <c r="X76" s="483"/>
      <c r="Y76" s="483"/>
      <c r="Z76" s="483"/>
      <c r="AA76" s="547"/>
    </row>
    <row r="77" spans="3:42" ht="15" x14ac:dyDescent="0.25">
      <c r="C77" s="204" t="s">
        <v>451</v>
      </c>
      <c r="D77" s="129"/>
      <c r="E77" s="470">
        <f>K66</f>
        <v>299</v>
      </c>
      <c r="F77"/>
      <c r="G77"/>
      <c r="U77" s="549"/>
      <c r="X77" s="483"/>
      <c r="Y77" s="483"/>
      <c r="Z77" s="483"/>
      <c r="AA77" s="482"/>
    </row>
    <row r="78" spans="3:42" ht="15" x14ac:dyDescent="0.25">
      <c r="C78" s="204" t="s">
        <v>450</v>
      </c>
      <c r="D78" s="129"/>
      <c r="E78" s="205">
        <f>E76*E77</f>
        <v>59800</v>
      </c>
      <c r="F78"/>
      <c r="G78"/>
      <c r="X78" s="483"/>
      <c r="Y78" s="483"/>
      <c r="Z78" s="483"/>
      <c r="AA78" s="482"/>
    </row>
    <row r="79" spans="3:42" ht="15" x14ac:dyDescent="0.25">
      <c r="C79" s="204" t="s">
        <v>444</v>
      </c>
      <c r="D79" s="129"/>
      <c r="E79" s="205">
        <v>2.6761400000000002</v>
      </c>
      <c r="F79"/>
      <c r="G79"/>
      <c r="X79" s="483"/>
      <c r="Y79" s="483"/>
      <c r="Z79" s="483"/>
      <c r="AA79" s="466"/>
    </row>
    <row r="80" spans="3:42" ht="15" x14ac:dyDescent="0.25">
      <c r="C80" s="204" t="s">
        <v>453</v>
      </c>
      <c r="D80" s="129"/>
      <c r="E80" s="205">
        <f>E78*E79</f>
        <v>160033.17200000002</v>
      </c>
      <c r="F80"/>
      <c r="G80"/>
    </row>
    <row r="81" spans="3:7" ht="15.75" thickBot="1" x14ac:dyDescent="0.3">
      <c r="C81" s="206" t="s">
        <v>454</v>
      </c>
      <c r="D81" s="207"/>
      <c r="E81" s="215">
        <f>E80/1000</f>
        <v>160.03317200000001</v>
      </c>
      <c r="F81"/>
      <c r="G81"/>
    </row>
    <row r="82" spans="3:7" ht="15" x14ac:dyDescent="0.25">
      <c r="C82"/>
      <c r="D82"/>
      <c r="E82"/>
      <c r="F82"/>
      <c r="G82"/>
    </row>
    <row r="83" spans="3:7" ht="15" x14ac:dyDescent="0.25">
      <c r="C83"/>
      <c r="D83"/>
      <c r="E83"/>
      <c r="F83"/>
      <c r="G83"/>
    </row>
    <row r="84" spans="3:7" ht="15" x14ac:dyDescent="0.25">
      <c r="C84"/>
      <c r="D84"/>
      <c r="E84"/>
      <c r="F84"/>
      <c r="G84"/>
    </row>
    <row r="85" spans="3:7" ht="15" x14ac:dyDescent="0.25">
      <c r="C85"/>
      <c r="D85"/>
      <c r="E85" t="s">
        <v>446</v>
      </c>
      <c r="F85"/>
      <c r="G85"/>
    </row>
    <row r="86" spans="3:7" ht="15" x14ac:dyDescent="0.25">
      <c r="C86" s="216" t="s">
        <v>456</v>
      </c>
      <c r="D86">
        <f>E78*0.7</f>
        <v>41860</v>
      </c>
      <c r="E86" s="168">
        <f>D86/1000000</f>
        <v>4.1860000000000001E-2</v>
      </c>
      <c r="F86"/>
      <c r="G86"/>
    </row>
    <row r="87" spans="3:7" ht="15" x14ac:dyDescent="0.25">
      <c r="C87" s="129" t="s">
        <v>448</v>
      </c>
      <c r="D87" s="212">
        <f>K67</f>
        <v>487566.11</v>
      </c>
      <c r="E87" s="213">
        <f>D87/1000000</f>
        <v>0.48756611</v>
      </c>
      <c r="F87"/>
      <c r="G87"/>
    </row>
    <row r="88" spans="3:7" ht="15" x14ac:dyDescent="0.25">
      <c r="C88" s="129" t="s">
        <v>455</v>
      </c>
      <c r="D88" s="129">
        <f>E81</f>
        <v>160.03317200000001</v>
      </c>
      <c r="E88" s="211">
        <f>D88</f>
        <v>160.03317200000001</v>
      </c>
      <c r="F88"/>
      <c r="G88"/>
    </row>
    <row r="89" spans="3:7" ht="15" x14ac:dyDescent="0.25">
      <c r="C89"/>
      <c r="D89"/>
      <c r="E89"/>
      <c r="F89"/>
      <c r="G89"/>
    </row>
    <row r="90" spans="3:7" ht="15" x14ac:dyDescent="0.25">
      <c r="C90"/>
      <c r="D90"/>
      <c r="E90"/>
      <c r="F90"/>
      <c r="G90"/>
    </row>
    <row r="91" spans="3:7" x14ac:dyDescent="0.2">
      <c r="C91" s="588" t="s">
        <v>633</v>
      </c>
      <c r="D91" s="590">
        <f>D87</f>
        <v>487566.11</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FFBB0A-24BA-41B8-AED5-42590223DBEF}">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591" t="s">
        <v>222</v>
      </c>
      <c r="C26" s="591"/>
      <c r="D26" s="591"/>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5" activePane="bottomLeft" state="frozen"/>
      <selection activeCell="A7" sqref="A7"/>
      <selection pane="bottomLeft" activeCell="G28" sqref="G28"/>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334</v>
      </c>
      <c r="Z1" s="26" t="s">
        <v>29</v>
      </c>
    </row>
    <row r="2" spans="2:26" x14ac:dyDescent="0.3">
      <c r="B2" s="605" t="s">
        <v>586</v>
      </c>
      <c r="C2" s="606"/>
      <c r="D2" s="606"/>
      <c r="E2" s="606"/>
      <c r="F2" s="607"/>
      <c r="Z2" s="26" t="s">
        <v>79</v>
      </c>
    </row>
    <row r="3" spans="2:26" ht="24.75" customHeight="1" x14ac:dyDescent="0.3">
      <c r="B3" s="608"/>
      <c r="C3" s="609"/>
      <c r="D3" s="609"/>
      <c r="E3" s="609"/>
      <c r="F3" s="610"/>
    </row>
    <row r="4" spans="2:26" ht="18" customHeight="1" x14ac:dyDescent="0.3">
      <c r="B4" s="25" t="s">
        <v>78</v>
      </c>
      <c r="C4" s="27"/>
      <c r="D4" s="27"/>
      <c r="E4" s="27"/>
      <c r="F4" s="27"/>
    </row>
    <row r="5" spans="2:26" ht="24.75" customHeight="1" x14ac:dyDescent="0.3">
      <c r="B5" s="599"/>
      <c r="C5" s="600"/>
      <c r="D5" s="600"/>
      <c r="E5" s="600"/>
      <c r="F5" s="601"/>
    </row>
    <row r="6" spans="2:26" ht="13.5" customHeight="1" x14ac:dyDescent="0.3">
      <c r="B6" s="27"/>
      <c r="C6" s="27"/>
      <c r="D6" s="27"/>
      <c r="E6" s="27"/>
      <c r="F6" s="27"/>
    </row>
    <row r="7" spans="2:26" x14ac:dyDescent="0.3">
      <c r="B7" s="25" t="s">
        <v>48</v>
      </c>
    </row>
    <row r="8" spans="2:26" x14ac:dyDescent="0.3">
      <c r="B8" s="616" t="s">
        <v>335</v>
      </c>
      <c r="C8" s="617"/>
      <c r="D8" s="611" t="s">
        <v>30</v>
      </c>
      <c r="E8" s="611"/>
      <c r="F8" s="611"/>
    </row>
    <row r="9" spans="2:26" ht="22.5" customHeight="1" x14ac:dyDescent="0.3">
      <c r="B9" s="602" t="s">
        <v>343</v>
      </c>
      <c r="C9" s="603"/>
      <c r="D9" s="612" t="s">
        <v>424</v>
      </c>
      <c r="E9" s="612"/>
      <c r="F9" s="612"/>
    </row>
    <row r="10" spans="2:26" ht="35.25" customHeight="1" x14ac:dyDescent="0.3">
      <c r="B10" s="602" t="s">
        <v>344</v>
      </c>
      <c r="C10" s="603"/>
      <c r="D10" s="613" t="s">
        <v>425</v>
      </c>
      <c r="E10" s="614"/>
      <c r="F10" s="615"/>
    </row>
    <row r="11" spans="2:26" ht="39" customHeight="1" x14ac:dyDescent="0.3">
      <c r="B11" s="602"/>
      <c r="C11" s="603"/>
      <c r="D11" s="612"/>
      <c r="E11" s="612"/>
      <c r="F11" s="612"/>
    </row>
    <row r="12" spans="2:26" ht="22.5" customHeight="1" x14ac:dyDescent="0.3">
      <c r="B12" s="602"/>
      <c r="C12" s="603"/>
      <c r="D12" s="612"/>
      <c r="E12" s="612"/>
      <c r="F12" s="612"/>
    </row>
    <row r="13" spans="2:26" ht="42" customHeight="1" x14ac:dyDescent="0.3">
      <c r="B13" s="602"/>
      <c r="C13" s="603"/>
      <c r="D13" s="612"/>
      <c r="E13" s="612"/>
      <c r="F13" s="612"/>
    </row>
    <row r="14" spans="2:26" ht="22.5" customHeight="1" x14ac:dyDescent="0.3">
      <c r="B14" s="602"/>
      <c r="C14" s="603"/>
      <c r="D14" s="612"/>
      <c r="E14" s="612"/>
      <c r="F14" s="612"/>
    </row>
    <row r="15" spans="2:26" ht="45.75" customHeight="1" x14ac:dyDescent="0.3">
      <c r="B15" s="602"/>
      <c r="C15" s="603"/>
      <c r="D15" s="612"/>
      <c r="E15" s="612"/>
      <c r="F15" s="612"/>
    </row>
    <row r="16" spans="2:26" ht="28.5" customHeight="1" x14ac:dyDescent="0.3">
      <c r="B16" s="602"/>
      <c r="C16" s="603"/>
      <c r="D16" s="612"/>
      <c r="E16" s="612"/>
      <c r="F16" s="612"/>
    </row>
    <row r="17" spans="2:11" ht="22.5" customHeight="1" x14ac:dyDescent="0.3">
      <c r="B17" s="597"/>
      <c r="C17" s="598"/>
      <c r="D17" s="604"/>
      <c r="E17" s="604"/>
      <c r="F17" s="604"/>
    </row>
    <row r="18" spans="2:11" ht="22.5" customHeight="1" x14ac:dyDescent="0.3">
      <c r="B18" s="597"/>
      <c r="C18" s="598"/>
      <c r="D18" s="604"/>
      <c r="E18" s="604"/>
      <c r="F18" s="604"/>
    </row>
    <row r="19" spans="2:11" ht="22.5" customHeight="1" x14ac:dyDescent="0.3">
      <c r="B19" s="597"/>
      <c r="C19" s="598"/>
      <c r="D19" s="604"/>
      <c r="E19" s="604"/>
      <c r="F19" s="604"/>
    </row>
    <row r="20" spans="2:11" ht="22.5" customHeight="1" x14ac:dyDescent="0.3">
      <c r="B20" s="597"/>
      <c r="C20" s="598"/>
      <c r="D20" s="604"/>
      <c r="E20" s="604"/>
      <c r="F20" s="604"/>
    </row>
    <row r="21" spans="2:11" ht="22.5" customHeight="1" x14ac:dyDescent="0.3">
      <c r="B21" s="597"/>
      <c r="C21" s="598"/>
      <c r="D21" s="604"/>
      <c r="E21" s="604"/>
      <c r="F21" s="604"/>
    </row>
    <row r="22" spans="2:11" ht="22.5" customHeight="1" x14ac:dyDescent="0.3">
      <c r="B22" s="597"/>
      <c r="C22" s="598"/>
      <c r="D22" s="604"/>
      <c r="E22" s="604"/>
      <c r="F22" s="604"/>
    </row>
    <row r="23" spans="2:11" ht="22.5" customHeight="1" x14ac:dyDescent="0.3">
      <c r="B23" s="597"/>
      <c r="C23" s="598"/>
      <c r="D23" s="604"/>
      <c r="E23" s="604"/>
      <c r="F23" s="604"/>
    </row>
    <row r="24" spans="2:11" ht="12.75" customHeight="1" x14ac:dyDescent="0.3">
      <c r="B24" s="28"/>
      <c r="C24" s="28"/>
      <c r="D24" s="29"/>
      <c r="E24" s="29"/>
      <c r="F24" s="29"/>
    </row>
    <row r="25" spans="2:11" x14ac:dyDescent="0.3">
      <c r="B25" s="25" t="s">
        <v>49</v>
      </c>
    </row>
    <row r="26" spans="2:11" ht="38.25" customHeight="1" x14ac:dyDescent="0.3">
      <c r="B26" s="593" t="s">
        <v>47</v>
      </c>
      <c r="C26" s="595" t="s">
        <v>27</v>
      </c>
      <c r="D26" s="595" t="s">
        <v>28</v>
      </c>
      <c r="E26" s="595" t="s">
        <v>30</v>
      </c>
      <c r="F26" s="593" t="s">
        <v>338</v>
      </c>
      <c r="G26" s="592" t="s">
        <v>99</v>
      </c>
      <c r="H26" s="592"/>
      <c r="I26" s="592"/>
      <c r="J26" s="592"/>
      <c r="K26" s="592"/>
    </row>
    <row r="27" spans="2:11" ht="36" customHeight="1" x14ac:dyDescent="0.3">
      <c r="B27" s="594"/>
      <c r="C27" s="596"/>
      <c r="D27" s="596"/>
      <c r="E27" s="596"/>
      <c r="F27" s="594"/>
      <c r="G27" s="64" t="s">
        <v>100</v>
      </c>
      <c r="H27" s="64" t="s">
        <v>101</v>
      </c>
      <c r="I27" s="64" t="s">
        <v>102</v>
      </c>
      <c r="J27" s="64" t="s">
        <v>103</v>
      </c>
      <c r="K27" s="64" t="s">
        <v>104</v>
      </c>
    </row>
    <row r="28" spans="2:11" ht="27.75" customHeight="1" x14ac:dyDescent="0.3">
      <c r="B28" s="30">
        <v>1</v>
      </c>
      <c r="C28" s="31" t="s">
        <v>459</v>
      </c>
      <c r="D28" s="30" t="s">
        <v>79</v>
      </c>
      <c r="E28" s="31"/>
      <c r="F28" s="30"/>
      <c r="G28" s="65">
        <f>'Option 1 (Baseline)'!$C$4</f>
        <v>-8.2040501799122829</v>
      </c>
      <c r="H28" s="65">
        <f>'Option 1 (Baseline)'!$C$5</f>
        <v>-8.8140380991987151</v>
      </c>
      <c r="I28" s="65">
        <f>'Option 1 (Baseline)'!$C$6</f>
        <v>-9.2215016738723214</v>
      </c>
      <c r="J28" s="65">
        <f>'Option 1 (Baseline)'!$C$7</f>
        <v>-9.6397856615729935</v>
      </c>
      <c r="K28" s="66"/>
    </row>
    <row r="29" spans="2:11" ht="27.75" customHeight="1" x14ac:dyDescent="0.3">
      <c r="B29" s="30">
        <v>2</v>
      </c>
      <c r="C29" s="30" t="s">
        <v>460</v>
      </c>
      <c r="D29" s="30" t="s">
        <v>29</v>
      </c>
      <c r="E29" s="31"/>
      <c r="F29" s="30"/>
      <c r="G29" s="65">
        <f>'Option 2'!$C$4</f>
        <v>-1.5939575486526105</v>
      </c>
      <c r="H29" s="65">
        <f>'Option 2'!$C$5</f>
        <v>-1.914162864579541</v>
      </c>
      <c r="I29" s="65">
        <f>'Option 2'!$C$6</f>
        <v>-2.1279024062824305</v>
      </c>
      <c r="J29" s="65">
        <f>'Option 2'!$C$7</f>
        <v>-2.3470188517298043</v>
      </c>
      <c r="K29" s="30"/>
    </row>
    <row r="30" spans="2:11" ht="27.75" customHeight="1" x14ac:dyDescent="0.3">
      <c r="B30" s="472">
        <v>3</v>
      </c>
      <c r="C30" s="472"/>
      <c r="D30" s="472"/>
      <c r="E30" s="473"/>
      <c r="F30" s="472"/>
      <c r="G30" s="474"/>
      <c r="H30" s="474"/>
      <c r="I30" s="474"/>
      <c r="J30" s="474"/>
      <c r="K30" s="472"/>
    </row>
    <row r="31" spans="2:11" ht="27.75" customHeight="1" x14ac:dyDescent="0.3">
      <c r="B31" s="472">
        <v>4</v>
      </c>
      <c r="C31" s="472"/>
      <c r="D31" s="472"/>
      <c r="E31" s="473"/>
      <c r="F31" s="472"/>
      <c r="G31" s="474"/>
      <c r="H31" s="474"/>
      <c r="I31" s="474"/>
      <c r="J31" s="474"/>
      <c r="K31" s="472"/>
    </row>
    <row r="32" spans="2:11" ht="27.75" customHeight="1" x14ac:dyDescent="0.3">
      <c r="B32" s="472">
        <v>5</v>
      </c>
      <c r="C32" s="472"/>
      <c r="D32" s="472"/>
      <c r="E32" s="473"/>
      <c r="F32" s="472"/>
      <c r="G32" s="474"/>
      <c r="H32" s="474"/>
      <c r="I32" s="474"/>
      <c r="J32" s="474"/>
      <c r="K32" s="472"/>
    </row>
    <row r="33" spans="2:11" ht="27.75" customHeight="1" x14ac:dyDescent="0.3">
      <c r="B33" s="472">
        <v>6</v>
      </c>
      <c r="C33" s="472"/>
      <c r="D33" s="472"/>
      <c r="E33" s="473"/>
      <c r="F33" s="472"/>
      <c r="G33" s="474"/>
      <c r="H33" s="474"/>
      <c r="I33" s="474"/>
      <c r="J33" s="474"/>
      <c r="K33" s="472"/>
    </row>
    <row r="34" spans="2:11" ht="27.75" customHeight="1" x14ac:dyDescent="0.3">
      <c r="B34" s="472">
        <v>7</v>
      </c>
      <c r="C34" s="472"/>
      <c r="D34" s="472"/>
      <c r="E34" s="473"/>
      <c r="F34" s="472"/>
      <c r="G34" s="474"/>
      <c r="H34" s="474"/>
      <c r="I34" s="474"/>
      <c r="J34" s="474"/>
      <c r="K34" s="472"/>
    </row>
    <row r="35" spans="2:11" ht="27.75" customHeight="1" x14ac:dyDescent="0.3">
      <c r="B35" s="472">
        <v>8</v>
      </c>
      <c r="C35" s="472"/>
      <c r="D35" s="472"/>
      <c r="E35" s="473"/>
      <c r="F35" s="472"/>
      <c r="G35" s="474"/>
      <c r="H35" s="474"/>
      <c r="I35" s="474"/>
      <c r="J35" s="474"/>
      <c r="K35" s="472"/>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disablePrompts="1"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5" sqref="F3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618" t="s">
        <v>73</v>
      </c>
      <c r="C13" s="619"/>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620"/>
      <c r="C14" s="621"/>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622"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622"/>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622"/>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622"/>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622"/>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622"/>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622"/>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622"/>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62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622"/>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66"/>
  <sheetViews>
    <sheetView topLeftCell="A22" zoomScale="70" zoomScaleNormal="70" workbookViewId="0">
      <selection activeCell="D65" sqref="D65:D66"/>
    </sheetView>
  </sheetViews>
  <sheetFormatPr defaultRowHeight="15" x14ac:dyDescent="0.25"/>
  <cols>
    <col min="1" max="1" width="10.85546875" bestFit="1" customWidth="1"/>
    <col min="2" max="2" width="26" bestFit="1" customWidth="1"/>
    <col min="3" max="3" width="14.42578125" bestFit="1"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7.710937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299</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623" t="s">
        <v>353</v>
      </c>
      <c r="B6" s="624"/>
      <c r="C6" s="624"/>
      <c r="D6" s="624"/>
      <c r="E6" s="624"/>
      <c r="F6" s="624"/>
      <c r="G6" s="624"/>
      <c r="H6" s="624"/>
      <c r="I6" s="625"/>
      <c r="J6" s="626" t="s">
        <v>354</v>
      </c>
      <c r="K6" s="627"/>
      <c r="L6" s="627"/>
      <c r="M6" s="627"/>
      <c r="N6" s="627"/>
      <c r="O6" s="627"/>
      <c r="P6" s="627"/>
      <c r="Q6" s="627"/>
      <c r="R6" s="627"/>
      <c r="S6" s="627"/>
      <c r="T6" s="627"/>
      <c r="U6" s="627"/>
      <c r="V6" s="627"/>
      <c r="W6" s="627"/>
      <c r="X6" s="627"/>
      <c r="Y6" s="628"/>
      <c r="Z6" s="629" t="s">
        <v>355</v>
      </c>
      <c r="AA6" s="629"/>
      <c r="AB6" s="629"/>
      <c r="AC6" s="629"/>
      <c r="AD6" s="629"/>
      <c r="AE6" s="629"/>
      <c r="AF6" s="629"/>
      <c r="AG6" s="629"/>
      <c r="AH6" s="629"/>
      <c r="AI6" s="629"/>
      <c r="AJ6" s="151"/>
      <c r="AK6" s="151"/>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x14ac:dyDescent="0.25">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2:40" x14ac:dyDescent="0.25">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2:40" x14ac:dyDescent="0.25">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2:40" x14ac:dyDescent="0.25">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2:40" x14ac:dyDescent="0.25">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2: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2:40" x14ac:dyDescent="0.25">
      <c r="G38" s="137"/>
      <c r="H38" s="137"/>
      <c r="I38" s="137"/>
      <c r="AE38" s="140"/>
      <c r="AF38" s="140"/>
      <c r="AG38" s="140"/>
      <c r="AH38" s="140"/>
      <c r="AI38" s="141"/>
      <c r="AJ38" s="141"/>
      <c r="AK38" s="141"/>
      <c r="AL38" s="141"/>
      <c r="AM38" s="180"/>
      <c r="AN38" s="140"/>
    </row>
    <row r="39" spans="2:40" x14ac:dyDescent="0.25">
      <c r="G39" s="137"/>
      <c r="H39" s="137"/>
      <c r="I39" s="137"/>
      <c r="AE39" s="140"/>
      <c r="AF39" s="140"/>
      <c r="AG39" s="140"/>
      <c r="AH39" s="140"/>
      <c r="AI39" s="141"/>
      <c r="AJ39" s="141"/>
      <c r="AK39" s="141"/>
      <c r="AL39" s="141"/>
      <c r="AM39" s="180"/>
      <c r="AN39" s="140"/>
    </row>
    <row r="40" spans="2: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2: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2: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2: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2: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2:40" x14ac:dyDescent="0.25">
      <c r="G45" s="137"/>
      <c r="H45" s="137"/>
      <c r="I45" s="137"/>
      <c r="AC45" s="185" t="s">
        <v>434</v>
      </c>
      <c r="AD45" s="185"/>
      <c r="AE45" s="198">
        <f>SUM(AH8:AH19)</f>
        <v>21166.800000000003</v>
      </c>
      <c r="AF45" s="140"/>
      <c r="AG45" s="140"/>
      <c r="AH45" s="140"/>
      <c r="AI45" s="141"/>
      <c r="AJ45" s="141"/>
      <c r="AK45" s="141"/>
      <c r="AL45" s="141"/>
      <c r="AM45" s="180"/>
      <c r="AN45" s="140"/>
    </row>
    <row r="46" spans="2:40" x14ac:dyDescent="0.25">
      <c r="G46" s="137"/>
      <c r="H46" s="137"/>
      <c r="I46" s="137"/>
      <c r="K46" s="167"/>
      <c r="AE46" s="140"/>
      <c r="AF46" s="140"/>
      <c r="AG46" s="140"/>
      <c r="AH46" s="140"/>
      <c r="AI46" s="141"/>
      <c r="AJ46" s="141"/>
      <c r="AK46" s="141"/>
      <c r="AL46" s="141"/>
      <c r="AM46" s="180"/>
      <c r="AN46" s="140"/>
    </row>
    <row r="47" spans="2:40" ht="15.75" thickBot="1" x14ac:dyDescent="0.3">
      <c r="M47" s="183" t="s">
        <v>428</v>
      </c>
      <c r="N47" s="183"/>
      <c r="O47" s="183"/>
      <c r="P47" s="199">
        <f>SUM(W8:W19)</f>
        <v>3473.272727272727</v>
      </c>
      <c r="AC47" s="185" t="s">
        <v>439</v>
      </c>
      <c r="AD47" s="185"/>
      <c r="AE47" s="186">
        <f>SUM(AJ8:AJ19)</f>
        <v>56383.877500000002</v>
      </c>
    </row>
    <row r="48" spans="2:40" x14ac:dyDescent="0.25">
      <c r="B48" s="202" t="s">
        <v>583</v>
      </c>
      <c r="C48" s="203"/>
      <c r="D48" s="208">
        <v>254127.92329411762</v>
      </c>
      <c r="E48" t="s">
        <v>457</v>
      </c>
      <c r="K48" s="167"/>
      <c r="M48" s="183" t="s">
        <v>426</v>
      </c>
      <c r="N48" s="183"/>
      <c r="O48" s="183"/>
      <c r="P48" s="199">
        <f>SUM(X8:X19)</f>
        <v>13893.090909090908</v>
      </c>
      <c r="AC48" s="185" t="s">
        <v>440</v>
      </c>
      <c r="AD48" s="185"/>
      <c r="AE48" s="186">
        <f>SUM(AK8:AK19)</f>
        <v>155847.84</v>
      </c>
    </row>
    <row r="49" spans="2:18" x14ac:dyDescent="0.25">
      <c r="B49" s="204" t="s">
        <v>444</v>
      </c>
      <c r="C49" s="129"/>
      <c r="D49" s="205">
        <v>2.6761400000000002</v>
      </c>
      <c r="E49" t="s">
        <v>445</v>
      </c>
      <c r="K49" s="167"/>
    </row>
    <row r="50" spans="2:18" x14ac:dyDescent="0.25">
      <c r="B50" s="204" t="s">
        <v>584</v>
      </c>
      <c r="C50" s="129"/>
      <c r="D50" s="209">
        <v>680081.90064431995</v>
      </c>
      <c r="M50" s="183" t="s">
        <v>427</v>
      </c>
      <c r="N50" s="183"/>
      <c r="O50" s="183"/>
      <c r="P50" s="195">
        <f>SUM(N8:O19)+SUM(S8:S19)</f>
        <v>715769.11931550805</v>
      </c>
    </row>
    <row r="51" spans="2:18" ht="15.75" thickBot="1" x14ac:dyDescent="0.3">
      <c r="B51" s="206" t="s">
        <v>585</v>
      </c>
      <c r="C51" s="207"/>
      <c r="D51" s="217">
        <v>680.08190064431994</v>
      </c>
      <c r="M51" s="183" t="s">
        <v>429</v>
      </c>
      <c r="N51" s="183"/>
      <c r="O51" s="183"/>
      <c r="P51" s="138">
        <f>SUM(P8:P19)+SUM(U8:U19)+SUM(AJ8:AJ19)</f>
        <v>249409.02840909091</v>
      </c>
      <c r="R51" s="194"/>
    </row>
    <row r="52" spans="2:18" x14ac:dyDescent="0.25">
      <c r="M52" s="183" t="s">
        <v>432</v>
      </c>
      <c r="N52" s="183"/>
      <c r="O52" s="183"/>
      <c r="P52" s="138">
        <f>SUM(Q8:Q19)+SUM(V8:V19)+SUM(AK8:AK19)</f>
        <v>810557.85818181816</v>
      </c>
    </row>
    <row r="53" spans="2:18" x14ac:dyDescent="0.25">
      <c r="P53" s="196">
        <f>SUM(P50:P52)</f>
        <v>1775736.005906417</v>
      </c>
    </row>
    <row r="57" spans="2:18" x14ac:dyDescent="0.25">
      <c r="E57" t="s">
        <v>446</v>
      </c>
    </row>
    <row r="58" spans="2:18" x14ac:dyDescent="0.25">
      <c r="B58" t="s">
        <v>441</v>
      </c>
      <c r="D58" s="201">
        <f>N37+O37+S37</f>
        <v>715769.11931550805</v>
      </c>
      <c r="E58" s="201">
        <f>D58/1000000</f>
        <v>0.71576911931550802</v>
      </c>
    </row>
    <row r="59" spans="2:18" ht="15.75" x14ac:dyDescent="0.3">
      <c r="B59" s="9" t="s">
        <v>295</v>
      </c>
      <c r="D59" s="201">
        <f>P37+U37+AJ37</f>
        <v>249409.02840909091</v>
      </c>
      <c r="E59" s="201">
        <f>D59/1000000</f>
        <v>0.2494090284090909</v>
      </c>
    </row>
    <row r="60" spans="2:18" ht="15.75" x14ac:dyDescent="0.3">
      <c r="B60" s="9" t="s">
        <v>296</v>
      </c>
      <c r="D60" s="201">
        <f>Q37+V37+AK37</f>
        <v>810557.85818181816</v>
      </c>
      <c r="E60" s="201">
        <f>D60/1000000</f>
        <v>0.81055785818181814</v>
      </c>
    </row>
    <row r="61" spans="2:18" ht="15.75" x14ac:dyDescent="0.3">
      <c r="B61" s="4" t="s">
        <v>211</v>
      </c>
      <c r="D61" s="168">
        <f>L37+W37+AG37</f>
        <v>36182.122727272726</v>
      </c>
      <c r="E61" s="168">
        <f>D61</f>
        <v>36182.122727272726</v>
      </c>
    </row>
    <row r="62" spans="2:18" ht="15.75" x14ac:dyDescent="0.3">
      <c r="B62" s="4" t="s">
        <v>212</v>
      </c>
      <c r="D62" s="168">
        <f>M37+X37+AH37</f>
        <v>91210.890909090915</v>
      </c>
      <c r="E62" s="168">
        <f>D62*60</f>
        <v>5472653.4545454551</v>
      </c>
    </row>
    <row r="63" spans="2:18" ht="16.5" x14ac:dyDescent="0.3">
      <c r="B63" s="4" t="s">
        <v>325</v>
      </c>
      <c r="D63" s="167">
        <f>D51</f>
        <v>680.08190064431994</v>
      </c>
      <c r="E63" s="167">
        <f>D63</f>
        <v>680.08190064431994</v>
      </c>
    </row>
    <row r="66" spans="4:4" x14ac:dyDescent="0.25">
      <c r="D66" s="167"/>
    </row>
  </sheetData>
  <mergeCells count="3">
    <mergeCell ref="A6:I6"/>
    <mergeCell ref="J6:Y6"/>
    <mergeCell ref="Z6:AI6"/>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84"/>
  <sheetViews>
    <sheetView topLeftCell="A49" zoomScale="70" zoomScaleNormal="70" workbookViewId="0">
      <selection activeCell="F91" sqref="F91"/>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623" t="s">
        <v>353</v>
      </c>
      <c r="C12" s="624"/>
      <c r="D12" s="624"/>
      <c r="E12" s="624"/>
      <c r="F12" s="624"/>
      <c r="G12" s="624"/>
      <c r="H12" s="624"/>
      <c r="I12" s="624"/>
      <c r="J12" s="624"/>
      <c r="K12" s="624"/>
      <c r="L12" s="626" t="s">
        <v>354</v>
      </c>
      <c r="M12" s="627"/>
      <c r="N12" s="627"/>
      <c r="O12" s="627"/>
      <c r="P12" s="627"/>
      <c r="Q12" s="627"/>
      <c r="R12" s="627"/>
      <c r="S12" s="627"/>
      <c r="T12" s="627"/>
      <c r="U12" s="627"/>
      <c r="V12" s="627"/>
      <c r="W12" s="627"/>
      <c r="X12" s="627"/>
      <c r="Y12" s="627"/>
      <c r="Z12" s="627"/>
      <c r="AA12" s="628"/>
      <c r="AB12" s="629" t="s">
        <v>355</v>
      </c>
      <c r="AC12" s="629"/>
      <c r="AD12" s="629"/>
      <c r="AE12" s="629"/>
      <c r="AF12" s="629"/>
      <c r="AG12" s="629"/>
      <c r="AH12" s="629"/>
      <c r="AI12" s="629"/>
      <c r="AJ12" s="629"/>
      <c r="AK12" s="629"/>
      <c r="AL12" s="218"/>
      <c r="AM12" s="218"/>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3: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3: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3:42" x14ac:dyDescent="0.25">
      <c r="J67" s="137"/>
      <c r="K67" s="137"/>
      <c r="AE67" s="142"/>
      <c r="AF67" s="142"/>
      <c r="AG67" s="141"/>
      <c r="AH67" s="140"/>
      <c r="AI67" s="140"/>
      <c r="AJ67" s="140"/>
      <c r="AK67" s="141"/>
      <c r="AL67" s="141"/>
      <c r="AM67" s="141"/>
      <c r="AN67" s="141"/>
      <c r="AO67" s="142"/>
      <c r="AP67" s="140"/>
    </row>
    <row r="68" spans="3:42" ht="15.75" thickBot="1" x14ac:dyDescent="0.3">
      <c r="W68" s="142"/>
      <c r="X68" s="142"/>
      <c r="Y68" s="142"/>
      <c r="Z68" s="317"/>
      <c r="AE68" s="142"/>
      <c r="AF68" s="142"/>
      <c r="AG68" s="141"/>
    </row>
    <row r="69" spans="3:42" x14ac:dyDescent="0.25">
      <c r="C69" s="202" t="s">
        <v>583</v>
      </c>
      <c r="D69" s="203"/>
      <c r="E69" s="208">
        <v>228353.46514285711</v>
      </c>
      <c r="W69" s="142"/>
      <c r="X69" s="142"/>
      <c r="Y69" s="142"/>
      <c r="Z69" s="317"/>
      <c r="AE69" s="142"/>
      <c r="AF69" s="142"/>
      <c r="AG69" s="141"/>
    </row>
    <row r="70" spans="3:42" x14ac:dyDescent="0.25">
      <c r="C70" s="204" t="s">
        <v>444</v>
      </c>
      <c r="D70" s="129"/>
      <c r="E70" s="205">
        <v>2.6761400000000002</v>
      </c>
      <c r="W70" s="142"/>
      <c r="X70" s="142"/>
      <c r="Y70" s="142"/>
      <c r="Z70" s="142"/>
    </row>
    <row r="71" spans="3:42" x14ac:dyDescent="0.25">
      <c r="C71" s="204" t="s">
        <v>584</v>
      </c>
      <c r="D71" s="129"/>
      <c r="E71" s="209">
        <v>611105.84220740572</v>
      </c>
      <c r="W71" s="142"/>
      <c r="X71" s="142"/>
      <c r="Y71" s="142"/>
      <c r="Z71" s="319"/>
    </row>
    <row r="72" spans="3:42" ht="15.75" thickBot="1" x14ac:dyDescent="0.3">
      <c r="C72" s="206" t="s">
        <v>585</v>
      </c>
      <c r="D72" s="207"/>
      <c r="E72" s="215">
        <v>611.10584220740577</v>
      </c>
      <c r="T72" s="194"/>
      <c r="W72" s="142"/>
      <c r="X72" s="142"/>
      <c r="Y72" s="142"/>
      <c r="Z72" s="141"/>
    </row>
    <row r="73" spans="3:42" x14ac:dyDescent="0.25">
      <c r="W73" s="142"/>
      <c r="X73" s="142"/>
      <c r="Y73" s="142"/>
      <c r="Z73" s="141"/>
    </row>
    <row r="74" spans="3:42" x14ac:dyDescent="0.25">
      <c r="W74" s="142"/>
      <c r="X74" s="142"/>
      <c r="Y74" s="142"/>
      <c r="Z74" s="320"/>
    </row>
    <row r="78" spans="3:42" x14ac:dyDescent="0.25">
      <c r="F78" t="s">
        <v>446</v>
      </c>
    </row>
    <row r="79" spans="3:42" x14ac:dyDescent="0.25">
      <c r="C79" t="s">
        <v>441</v>
      </c>
      <c r="E79" s="201">
        <f>P58+Q58+U58</f>
        <v>755953.65755844163</v>
      </c>
      <c r="F79" s="201">
        <f>E79/1000000</f>
        <v>0.75595365755844168</v>
      </c>
      <c r="G79"/>
    </row>
    <row r="80" spans="3:42" ht="15.75" x14ac:dyDescent="0.3">
      <c r="C80" s="9" t="s">
        <v>295</v>
      </c>
      <c r="E80" s="201">
        <f>R58+X58+AL58</f>
        <v>38324.985454545451</v>
      </c>
      <c r="F80" s="201">
        <f>E80/1000000</f>
        <v>3.8324985454545449E-2</v>
      </c>
      <c r="G80"/>
    </row>
    <row r="81" spans="3:7" ht="15.75" x14ac:dyDescent="0.3">
      <c r="C81" s="9" t="s">
        <v>296</v>
      </c>
      <c r="E81" s="201">
        <f>S58+Y58+AM58</f>
        <v>226712.3890909091</v>
      </c>
      <c r="F81" s="201">
        <f>E81/1000000</f>
        <v>0.2267123890909091</v>
      </c>
      <c r="G81"/>
    </row>
    <row r="82" spans="3:7" ht="15.75" x14ac:dyDescent="0.3">
      <c r="C82" s="4" t="s">
        <v>211</v>
      </c>
      <c r="E82" s="168">
        <f>N58+V58+AI58</f>
        <v>5199.636363636364</v>
      </c>
      <c r="F82" s="168">
        <f>E82</f>
        <v>5199.636363636364</v>
      </c>
      <c r="G82"/>
    </row>
    <row r="83" spans="3:7" ht="15.75" x14ac:dyDescent="0.3">
      <c r="C83" s="4" t="s">
        <v>212</v>
      </c>
      <c r="E83" s="168">
        <f>O58+W58+AJ58</f>
        <v>21711.845454545455</v>
      </c>
      <c r="F83" s="168">
        <f>E83*60</f>
        <v>1302710.7272727273</v>
      </c>
      <c r="G83"/>
    </row>
    <row r="84" spans="3:7" ht="16.5" x14ac:dyDescent="0.3">
      <c r="C84" s="4" t="s">
        <v>325</v>
      </c>
      <c r="E84" s="167">
        <f>E72</f>
        <v>611.10584220740577</v>
      </c>
      <c r="F84" s="167">
        <f>E84</f>
        <v>611.10584220740577</v>
      </c>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topLeftCell="A46" zoomScale="70" zoomScaleNormal="70" workbookViewId="0">
      <selection activeCell="F86" sqref="F86"/>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4" width="17.28515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630"/>
      <c r="AD8" s="630"/>
      <c r="AE8" s="630"/>
      <c r="AF8" s="630"/>
      <c r="AG8" s="630"/>
      <c r="AH8" s="630"/>
      <c r="AI8" s="630"/>
      <c r="AJ8" s="630"/>
      <c r="AK8" s="630"/>
      <c r="AL8" s="630"/>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631" t="s">
        <v>522</v>
      </c>
      <c r="C12" s="632"/>
      <c r="D12" s="632"/>
      <c r="E12" s="632"/>
      <c r="F12" s="632"/>
      <c r="G12" s="632"/>
      <c r="H12" s="632"/>
      <c r="I12" s="632"/>
      <c r="J12" s="632"/>
      <c r="K12" s="632"/>
      <c r="L12" s="633"/>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583</v>
      </c>
      <c r="D71" s="203"/>
      <c r="E71" s="208">
        <v>302453.81119999994</v>
      </c>
      <c r="F71"/>
      <c r="X71" s="330"/>
      <c r="Y71" s="330"/>
      <c r="Z71" s="330"/>
      <c r="AA71" s="464"/>
    </row>
    <row r="72" spans="3:42" ht="15" x14ac:dyDescent="0.25">
      <c r="C72" s="204" t="s">
        <v>444</v>
      </c>
      <c r="D72" s="129"/>
      <c r="E72" s="205">
        <v>2.6761400000000002</v>
      </c>
      <c r="F72"/>
      <c r="U72" s="465"/>
      <c r="X72" s="330"/>
      <c r="Y72" s="330"/>
      <c r="Z72" s="330"/>
      <c r="AA72" s="329"/>
    </row>
    <row r="73" spans="3:42" ht="15" x14ac:dyDescent="0.25">
      <c r="C73" s="204" t="s">
        <v>584</v>
      </c>
      <c r="D73" s="129"/>
      <c r="E73" s="209">
        <v>809408.74230476795</v>
      </c>
      <c r="F73"/>
      <c r="X73" s="330"/>
      <c r="Y73" s="330"/>
      <c r="Z73" s="330"/>
      <c r="AA73" s="329"/>
    </row>
    <row r="74" spans="3:42" ht="15.75" thickBot="1" x14ac:dyDescent="0.3">
      <c r="C74" s="206" t="s">
        <v>585</v>
      </c>
      <c r="D74" s="207"/>
      <c r="E74" s="471">
        <v>809.408742304768</v>
      </c>
      <c r="F74"/>
      <c r="X74" s="330"/>
      <c r="Y74" s="330"/>
      <c r="Z74" s="330"/>
      <c r="AA74" s="466"/>
    </row>
    <row r="75" spans="3:42" ht="15" x14ac:dyDescent="0.25">
      <c r="C75"/>
      <c r="D75"/>
      <c r="E75"/>
      <c r="F75"/>
    </row>
    <row r="76" spans="3:42" ht="15" x14ac:dyDescent="0.25">
      <c r="C76"/>
      <c r="D76"/>
      <c r="E76"/>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c r="F80" t="s">
        <v>446</v>
      </c>
      <c r="G80" s="467"/>
    </row>
    <row r="81" spans="3:7" s="323" customFormat="1" ht="15" x14ac:dyDescent="0.25">
      <c r="C81" t="s">
        <v>441</v>
      </c>
      <c r="D81"/>
      <c r="E81" s="201">
        <f>Q58+R58+V58</f>
        <v>956484.86370909086</v>
      </c>
      <c r="F81" s="201">
        <f>E81/1000000</f>
        <v>0.9564848637090908</v>
      </c>
      <c r="G81" s="467"/>
    </row>
    <row r="82" spans="3:7" s="323" customFormat="1" ht="15.75" x14ac:dyDescent="0.3">
      <c r="C82" s="9" t="s">
        <v>295</v>
      </c>
      <c r="D82"/>
      <c r="E82" s="201">
        <f>S58+Y58+AM58</f>
        <v>47722.678181818177</v>
      </c>
      <c r="F82" s="201">
        <f>E82/1000000</f>
        <v>4.7722678181818176E-2</v>
      </c>
      <c r="G82" s="435"/>
    </row>
    <row r="83" spans="3:7" s="323" customFormat="1" ht="15.75" x14ac:dyDescent="0.3">
      <c r="C83" s="9" t="s">
        <v>296</v>
      </c>
      <c r="D83"/>
      <c r="E83" s="201">
        <f>T58+Z58+AN58</f>
        <v>393197.45399999997</v>
      </c>
      <c r="F83" s="201">
        <f>E83/1000000</f>
        <v>0.39319745399999995</v>
      </c>
      <c r="G83" s="435"/>
    </row>
    <row r="84" spans="3:7" s="323" customFormat="1" ht="15.75" x14ac:dyDescent="0.3">
      <c r="C84" s="4" t="s">
        <v>211</v>
      </c>
      <c r="D84"/>
      <c r="E84" s="168">
        <f>O58+W58+AJ58</f>
        <v>6368.2727272727279</v>
      </c>
      <c r="F84" s="168">
        <f>E84</f>
        <v>6368.2727272727279</v>
      </c>
      <c r="G84" s="469"/>
    </row>
    <row r="85" spans="3:7" ht="15.75" x14ac:dyDescent="0.3">
      <c r="C85" s="4" t="s">
        <v>212</v>
      </c>
      <c r="D85"/>
      <c r="E85" s="552">
        <f>P58+X58+AK58</f>
        <v>36238.890909090915</v>
      </c>
      <c r="F85" s="168">
        <f>E85*60</f>
        <v>2174333.4545454551</v>
      </c>
    </row>
    <row r="86" spans="3:7" ht="16.5" x14ac:dyDescent="0.3">
      <c r="C86" s="4" t="s">
        <v>325</v>
      </c>
      <c r="D86"/>
      <c r="E86" s="167">
        <f>E74</f>
        <v>809.408742304768</v>
      </c>
      <c r="F86" s="167">
        <f>E86</f>
        <v>809.408742304768</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3034-E28D-45C8-A254-1A1211FCAFCD}">
  <dimension ref="A1:AR89"/>
  <sheetViews>
    <sheetView topLeftCell="A46" zoomScale="70" zoomScaleNormal="70" workbookViewId="0">
      <selection activeCell="N84" sqref="N84"/>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630"/>
      <c r="AD8" s="630"/>
      <c r="AE8" s="630"/>
      <c r="AF8" s="630"/>
      <c r="AG8" s="630"/>
      <c r="AH8" s="630"/>
      <c r="AI8" s="630"/>
      <c r="AJ8" s="630"/>
      <c r="AK8" s="630"/>
      <c r="AL8" s="630"/>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34" t="s">
        <v>522</v>
      </c>
      <c r="C12" s="635"/>
      <c r="D12" s="635"/>
      <c r="E12" s="635"/>
      <c r="F12" s="635"/>
      <c r="G12" s="635"/>
      <c r="H12" s="635"/>
      <c r="I12" s="635"/>
      <c r="J12" s="635"/>
      <c r="K12" s="635"/>
      <c r="L12" s="636"/>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thickBot="1" x14ac:dyDescent="0.25">
      <c r="X73" s="483"/>
      <c r="Y73" s="483"/>
      <c r="Z73" s="483"/>
      <c r="AA73" s="545"/>
      <c r="AF73" s="483"/>
      <c r="AG73" s="483"/>
      <c r="AH73" s="482"/>
    </row>
    <row r="74" spans="3:42" ht="15" x14ac:dyDescent="0.25">
      <c r="C74" s="202" t="s">
        <v>583</v>
      </c>
      <c r="D74" s="203"/>
      <c r="E74" s="208">
        <v>409922.18624000001</v>
      </c>
      <c r="F74"/>
      <c r="X74" s="483"/>
      <c r="Y74" s="483"/>
      <c r="Z74" s="483"/>
      <c r="AA74" s="545"/>
      <c r="AF74" s="483"/>
      <c r="AG74" s="483"/>
      <c r="AH74" s="482"/>
    </row>
    <row r="75" spans="3:42" ht="15" x14ac:dyDescent="0.25">
      <c r="C75" s="204" t="s">
        <v>444</v>
      </c>
      <c r="D75" s="129"/>
      <c r="E75" s="205">
        <v>2.6761400000000002</v>
      </c>
      <c r="F75"/>
      <c r="X75" s="483"/>
      <c r="Y75" s="483"/>
      <c r="Z75" s="483"/>
      <c r="AA75" s="483"/>
    </row>
    <row r="76" spans="3:42" ht="15" x14ac:dyDescent="0.25">
      <c r="C76" s="204" t="s">
        <v>611</v>
      </c>
      <c r="D76" s="129"/>
      <c r="E76" s="209">
        <v>1097009.1594843133</v>
      </c>
      <c r="F76"/>
      <c r="X76" s="483"/>
      <c r="Y76" s="483"/>
      <c r="Z76" s="483"/>
      <c r="AA76" s="547"/>
    </row>
    <row r="77" spans="3:42" ht="15.75" thickBot="1" x14ac:dyDescent="0.3">
      <c r="C77" s="206" t="s">
        <v>612</v>
      </c>
      <c r="D77" s="207"/>
      <c r="E77" s="471">
        <v>1097.0091594843134</v>
      </c>
      <c r="F77"/>
      <c r="U77" s="549"/>
      <c r="X77" s="483"/>
      <c r="Y77" s="483"/>
      <c r="Z77" s="483"/>
      <c r="AA77" s="482"/>
    </row>
    <row r="78" spans="3:42" ht="15" x14ac:dyDescent="0.25">
      <c r="C78"/>
      <c r="D78"/>
      <c r="E78"/>
      <c r="F78"/>
      <c r="X78" s="483"/>
      <c r="Y78" s="483"/>
      <c r="Z78" s="483"/>
      <c r="AA78" s="482"/>
    </row>
    <row r="79" spans="3:42" ht="15" x14ac:dyDescent="0.25">
      <c r="C79"/>
      <c r="D79"/>
      <c r="E79"/>
      <c r="F79"/>
      <c r="X79" s="483"/>
      <c r="Y79" s="483"/>
      <c r="Z79" s="483"/>
      <c r="AA79" s="466"/>
    </row>
    <row r="80" spans="3:42" ht="15" x14ac:dyDescent="0.25">
      <c r="C80"/>
      <c r="D80"/>
      <c r="E80"/>
      <c r="F80"/>
    </row>
    <row r="81" spans="3:7" ht="15" x14ac:dyDescent="0.25">
      <c r="C81"/>
      <c r="D81"/>
      <c r="E81"/>
      <c r="F81"/>
    </row>
    <row r="82" spans="3:7" ht="15" x14ac:dyDescent="0.25">
      <c r="C82"/>
      <c r="D82"/>
      <c r="E82"/>
      <c r="F82"/>
    </row>
    <row r="83" spans="3:7" ht="15" x14ac:dyDescent="0.25">
      <c r="C83"/>
      <c r="D83"/>
      <c r="E83"/>
      <c r="F83" t="s">
        <v>446</v>
      </c>
    </row>
    <row r="84" spans="3:7" ht="15" x14ac:dyDescent="0.25">
      <c r="C84" t="s">
        <v>441</v>
      </c>
      <c r="D84"/>
      <c r="E84" s="201">
        <f>Q63+R63+V63</f>
        <v>974878.57286233758</v>
      </c>
      <c r="F84" s="201">
        <f>E84/1000000</f>
        <v>0.97487857286233759</v>
      </c>
      <c r="G84" s="550"/>
    </row>
    <row r="85" spans="3:7" ht="15.75" x14ac:dyDescent="0.3">
      <c r="C85" s="9" t="s">
        <v>295</v>
      </c>
      <c r="D85"/>
      <c r="E85" s="201">
        <f>S63+Y63+AM63</f>
        <v>31105.79309090909</v>
      </c>
      <c r="F85" s="201">
        <f>E85/1000000</f>
        <v>3.1105793090909089E-2</v>
      </c>
      <c r="G85" s="550"/>
    </row>
    <row r="86" spans="3:7" ht="15.75" x14ac:dyDescent="0.3">
      <c r="C86" s="9" t="s">
        <v>296</v>
      </c>
      <c r="D86"/>
      <c r="E86" s="201">
        <f>T63+Z63+AN63</f>
        <v>347881.91399999993</v>
      </c>
      <c r="F86" s="201">
        <f>E86/1000000</f>
        <v>0.34788191399999996</v>
      </c>
      <c r="G86" s="550"/>
    </row>
    <row r="87" spans="3:7" ht="15.75" x14ac:dyDescent="0.3">
      <c r="C87" s="4" t="s">
        <v>211</v>
      </c>
      <c r="D87"/>
      <c r="E87" s="552">
        <f>O63+W63+AJ63</f>
        <v>4195.8363636363638</v>
      </c>
      <c r="F87" s="168">
        <f>E87</f>
        <v>4195.8363636363638</v>
      </c>
      <c r="G87" s="528"/>
    </row>
    <row r="88" spans="3:7" ht="15.75" x14ac:dyDescent="0.3">
      <c r="C88" s="4" t="s">
        <v>212</v>
      </c>
      <c r="D88"/>
      <c r="E88" s="552">
        <f>P63+X63+AK63</f>
        <v>35579.345454545452</v>
      </c>
      <c r="F88" s="168">
        <f>E88*60</f>
        <v>2134760.7272727271</v>
      </c>
      <c r="G88" s="528"/>
    </row>
    <row r="89" spans="3:7" ht="16.5" x14ac:dyDescent="0.3">
      <c r="C89" s="4" t="s">
        <v>325</v>
      </c>
      <c r="D89"/>
      <c r="E89" s="167">
        <f>E77</f>
        <v>1097.0091594843134</v>
      </c>
      <c r="F89" s="167">
        <f>E89</f>
        <v>1097.0091594843134</v>
      </c>
      <c r="G89" s="551"/>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51AF5DE-7375-47C6-A769-CC0BF5010640}">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996D-F15E-40DB-8887-ABC80076D8A6}">
  <dimension ref="A1:AR91"/>
  <sheetViews>
    <sheetView tabSelected="1" topLeftCell="A46" zoomScale="70" zoomScaleNormal="70" workbookViewId="0">
      <selection activeCell="I81" sqref="I81"/>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2"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460</v>
      </c>
      <c r="L8" s="479"/>
      <c r="O8" s="149"/>
      <c r="P8" s="149"/>
      <c r="Q8" s="150"/>
      <c r="AC8" s="630"/>
      <c r="AD8" s="630"/>
      <c r="AE8" s="630"/>
      <c r="AF8" s="630"/>
      <c r="AG8" s="630"/>
      <c r="AH8" s="630"/>
      <c r="AI8" s="630"/>
      <c r="AJ8" s="630"/>
      <c r="AK8" s="630"/>
      <c r="AL8" s="630"/>
      <c r="AM8" s="554"/>
      <c r="AN8" s="554"/>
      <c r="AO8" s="554"/>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34" t="s">
        <v>522</v>
      </c>
      <c r="C12" s="635"/>
      <c r="D12" s="635"/>
      <c r="E12" s="635"/>
      <c r="F12" s="635"/>
      <c r="G12" s="635"/>
      <c r="H12" s="635"/>
      <c r="I12" s="635"/>
      <c r="J12" s="635"/>
      <c r="K12" s="635"/>
      <c r="L12" s="636"/>
      <c r="M12" s="626" t="s">
        <v>354</v>
      </c>
      <c r="N12" s="627"/>
      <c r="O12" s="627"/>
      <c r="P12" s="627"/>
      <c r="Q12" s="627"/>
      <c r="R12" s="627"/>
      <c r="S12" s="627"/>
      <c r="T12" s="627"/>
      <c r="U12" s="627"/>
      <c r="V12" s="627"/>
      <c r="W12" s="627"/>
      <c r="X12" s="627"/>
      <c r="Y12" s="627"/>
      <c r="Z12" s="627"/>
      <c r="AA12" s="627"/>
      <c r="AB12" s="628"/>
      <c r="AC12" s="629" t="s">
        <v>355</v>
      </c>
      <c r="AD12" s="629"/>
      <c r="AE12" s="629"/>
      <c r="AF12" s="629"/>
      <c r="AG12" s="629"/>
      <c r="AH12" s="629"/>
      <c r="AI12" s="629"/>
      <c r="AJ12" s="629"/>
      <c r="AK12" s="629"/>
      <c r="AL12" s="629"/>
      <c r="AM12" s="553"/>
      <c r="AN12" s="553"/>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55" t="s">
        <v>525</v>
      </c>
      <c r="B14" s="555" t="s">
        <v>526</v>
      </c>
      <c r="C14" s="559"/>
      <c r="D14" s="559" t="s">
        <v>412</v>
      </c>
      <c r="E14" s="559" t="s">
        <v>387</v>
      </c>
      <c r="F14" s="559"/>
      <c r="G14" s="561">
        <v>43574</v>
      </c>
      <c r="H14" s="564">
        <v>19</v>
      </c>
      <c r="I14" s="559">
        <v>14</v>
      </c>
      <c r="J14" s="349">
        <f>SUM(I14:I17)/(($K$8-$K$9)/$K$10)</f>
        <v>0.41739130434782606</v>
      </c>
      <c r="K14" s="571">
        <v>24840</v>
      </c>
      <c r="L14" s="351">
        <f>15713.9-K14</f>
        <v>-9126.1</v>
      </c>
      <c r="M14" s="497">
        <f>[4]CBA!M14</f>
        <v>420</v>
      </c>
      <c r="N14" s="497">
        <f>[4]CBA!N14</f>
        <v>21</v>
      </c>
      <c r="O14" s="497">
        <f>[4]CBA!O14</f>
        <v>840</v>
      </c>
      <c r="P14" s="497">
        <f>[4]CBA!P14</f>
        <v>1680</v>
      </c>
      <c r="Q14" s="497">
        <f>[4]CBA!Q14</f>
        <v>144798</v>
      </c>
      <c r="R14" s="497">
        <f>[4]CBA!R14</f>
        <v>20724</v>
      </c>
      <c r="S14" s="574">
        <f>O14*$Q$3</f>
        <v>5048.3999999999996</v>
      </c>
      <c r="T14" s="574">
        <f>P14*$Q$4</f>
        <v>14137.199999999999</v>
      </c>
      <c r="U14" s="567">
        <f>N14/$U$1</f>
        <v>0.38181818181818183</v>
      </c>
      <c r="V14" s="355">
        <f>IF(M14=0,0,U14*$U$3)</f>
        <v>190.90909090909091</v>
      </c>
      <c r="W14" s="574">
        <f>M14*U14</f>
        <v>160.36363636363637</v>
      </c>
      <c r="X14" s="574">
        <f>U14*(M14*$U$2)</f>
        <v>641.4545454545455</v>
      </c>
      <c r="Y14" s="574">
        <f>U14*(M14*$AF$3)</f>
        <v>1927.570909090909</v>
      </c>
      <c r="Z14" s="574">
        <f>U14*(M14*$U$2)*$AF$4</f>
        <v>10795.68</v>
      </c>
      <c r="AA14" s="574">
        <f>Y14+Z14</f>
        <v>12723.25090909091</v>
      </c>
      <c r="AB14" s="571">
        <f>Q14+R14+S14+T14+V14+AA14</f>
        <v>197621.76000000001</v>
      </c>
      <c r="AC14" s="235">
        <f>[4]CBA!AC14</f>
        <v>1340</v>
      </c>
      <c r="AD14" s="231">
        <f>[4]CBA!AD14</f>
        <v>8</v>
      </c>
      <c r="AE14" s="231">
        <f>AC14*AD14</f>
        <v>10720</v>
      </c>
      <c r="AF14" s="236">
        <f>AC14*$AF$3</f>
        <v>16106.8</v>
      </c>
      <c r="AG14" s="236">
        <f>AE14*$AF$4</f>
        <v>180417.59999999998</v>
      </c>
      <c r="AH14" s="239">
        <f>(AF14+AG14)</f>
        <v>196524.39999999997</v>
      </c>
      <c r="AI14" s="240">
        <f>$AF$6</f>
        <v>0.05</v>
      </c>
      <c r="AJ14" s="241">
        <f>AC14*AI14</f>
        <v>67</v>
      </c>
      <c r="AK14" s="241">
        <f>AE14*AI14</f>
        <v>536</v>
      </c>
      <c r="AL14" s="239">
        <f>AH14*AI14</f>
        <v>9826.2199999999993</v>
      </c>
      <c r="AM14" s="239">
        <f>AF14*AI14</f>
        <v>805.34</v>
      </c>
      <c r="AN14" s="239">
        <f>AG14*AI14</f>
        <v>9020.8799999999992</v>
      </c>
      <c r="AO14" s="242">
        <f>AB14+AH14</f>
        <v>394146.16</v>
      </c>
      <c r="AP14" s="172">
        <f t="shared" ref="AP14:AP58" si="0">AO14-($K$68*H14)</f>
        <v>363163.69816053507</v>
      </c>
      <c r="AQ14" s="243">
        <f>AB14+AL14</f>
        <v>207447.98</v>
      </c>
      <c r="AR14" s="243">
        <f t="shared" ref="AR14:AR58" si="1">AQ14-($K$68*H14)</f>
        <v>176465.51816053514</v>
      </c>
    </row>
    <row r="15" spans="1:44" ht="15" x14ac:dyDescent="0.25">
      <c r="A15" s="555"/>
      <c r="B15" s="555" t="s">
        <v>526</v>
      </c>
      <c r="C15" s="559"/>
      <c r="D15" s="559" t="s">
        <v>609</v>
      </c>
      <c r="E15" s="559" t="s">
        <v>409</v>
      </c>
      <c r="F15" s="559"/>
      <c r="G15" s="561"/>
      <c r="H15" s="564">
        <v>5</v>
      </c>
      <c r="I15" s="559">
        <v>2</v>
      </c>
      <c r="J15" s="567"/>
      <c r="K15" s="571"/>
      <c r="L15" s="351"/>
      <c r="M15" s="497">
        <f>[4]CBA!M15</f>
        <v>166</v>
      </c>
      <c r="N15" s="497">
        <f>[4]CBA!N15</f>
        <v>12</v>
      </c>
      <c r="O15" s="497">
        <f>[4]CBA!O15</f>
        <v>332</v>
      </c>
      <c r="P15" s="497">
        <f>[4]CBA!P15</f>
        <v>1328</v>
      </c>
      <c r="Q15" s="497">
        <f>[4]CBA!Q15</f>
        <v>44824.091428571424</v>
      </c>
      <c r="R15" s="497">
        <f>[4]CBA!R15</f>
        <v>13616</v>
      </c>
      <c r="S15" s="574">
        <f>O15*$Q$3</f>
        <v>1995.32</v>
      </c>
      <c r="T15" s="574">
        <f>P15*$Q$4</f>
        <v>11175.119999999999</v>
      </c>
      <c r="U15" s="567">
        <f>N15/$U$1</f>
        <v>0.21818181818181817</v>
      </c>
      <c r="V15" s="355">
        <f>IF(M15=0,0,U15*$U$3)</f>
        <v>109.09090909090908</v>
      </c>
      <c r="W15" s="574">
        <f>M15*U15</f>
        <v>36.218181818181819</v>
      </c>
      <c r="X15" s="574">
        <f>U15*(M15*$U$2)</f>
        <v>144.87272727272727</v>
      </c>
      <c r="Y15" s="574">
        <f>U15*(M15*$AF$3)</f>
        <v>435.34254545454542</v>
      </c>
      <c r="Z15" s="574">
        <f>U15*(M15*$U$2)*$AF$4</f>
        <v>2438.2079999999996</v>
      </c>
      <c r="AA15" s="574">
        <f>Y15+Z15</f>
        <v>2873.550545454545</v>
      </c>
      <c r="AB15" s="571">
        <f>Q15+R15+S15+T15+V15+AA15</f>
        <v>74593.172883116888</v>
      </c>
      <c r="AC15" s="235">
        <f>[4]CBA!AC15</f>
        <v>2160</v>
      </c>
      <c r="AD15" s="235">
        <f>[4]CBA!AD15</f>
        <v>8</v>
      </c>
      <c r="AE15" s="231">
        <f t="shared" ref="AE15:AE58" si="2">AC15*AD15</f>
        <v>17280</v>
      </c>
      <c r="AF15" s="236">
        <f t="shared" ref="AF15:AF58" si="3">AC15*$AF$3</f>
        <v>25963.200000000001</v>
      </c>
      <c r="AG15" s="236">
        <f t="shared" ref="AG15:AG58" si="4">AE15*$AF$4</f>
        <v>290822.39999999997</v>
      </c>
      <c r="AH15" s="239">
        <f t="shared" ref="AH15:AH58" si="5">(AF15+AG15)</f>
        <v>316785.59999999998</v>
      </c>
      <c r="AI15" s="240">
        <f t="shared" ref="AI15:AI60" si="6">$AF$6</f>
        <v>0.05</v>
      </c>
      <c r="AJ15" s="241">
        <f t="shared" ref="AJ15:AJ58" si="7">AC15*AI15</f>
        <v>108</v>
      </c>
      <c r="AK15" s="241">
        <f t="shared" ref="AK15:AK58" si="8">AE15*AI15</f>
        <v>864</v>
      </c>
      <c r="AL15" s="239">
        <f t="shared" ref="AL15:AL58" si="9">AH15*AI15</f>
        <v>15839.279999999999</v>
      </c>
      <c r="AM15" s="239">
        <f t="shared" ref="AM15:AM58" si="10">AF15*AI15</f>
        <v>1298.1600000000001</v>
      </c>
      <c r="AN15" s="239">
        <f t="shared" ref="AN15:AN58" si="11">AG15*AI15</f>
        <v>14541.119999999999</v>
      </c>
      <c r="AO15" s="242">
        <f t="shared" ref="AO15:AO58" si="12">AB15+AH15</f>
        <v>391378.77288311685</v>
      </c>
      <c r="AP15" s="172">
        <f t="shared" si="0"/>
        <v>383225.49345167872</v>
      </c>
      <c r="AQ15" s="243">
        <f t="shared" ref="AQ15:AQ58" si="13">AB15+AL15</f>
        <v>90432.452883116886</v>
      </c>
      <c r="AR15" s="243">
        <f t="shared" si="1"/>
        <v>82279.173451678755</v>
      </c>
    </row>
    <row r="16" spans="1:44" s="509" customFormat="1" ht="15" x14ac:dyDescent="0.25">
      <c r="A16" s="556"/>
      <c r="B16" s="556"/>
      <c r="C16" s="560"/>
      <c r="D16" s="560"/>
      <c r="E16" s="560"/>
      <c r="F16" s="560"/>
      <c r="G16" s="562"/>
      <c r="H16" s="565"/>
      <c r="I16" s="560"/>
      <c r="J16" s="568"/>
      <c r="K16" s="568"/>
      <c r="L16" s="572"/>
      <c r="M16" s="505"/>
      <c r="N16" s="505"/>
      <c r="O16" s="505"/>
      <c r="P16" s="505"/>
      <c r="Q16" s="497"/>
      <c r="R16" s="497"/>
      <c r="S16" s="575">
        <f>O16*$Q$3</f>
        <v>0</v>
      </c>
      <c r="T16" s="575">
        <f>P16*$Q$4</f>
        <v>0</v>
      </c>
      <c r="U16" s="577">
        <f>N16/$U$1</f>
        <v>0</v>
      </c>
      <c r="V16" s="364">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505"/>
      <c r="N17" s="505"/>
      <c r="O17" s="505"/>
      <c r="P17" s="505"/>
      <c r="Q17" s="510"/>
      <c r="R17" s="510"/>
      <c r="S17" s="575">
        <f t="shared" ref="S17:S58" si="14">O17*$Q$3</f>
        <v>0</v>
      </c>
      <c r="T17" s="575">
        <f t="shared" ref="T17:T58" si="15">P17*$Q$4</f>
        <v>0</v>
      </c>
      <c r="U17" s="577">
        <f t="shared" ref="U17:U58" si="16">N17/$U$1</f>
        <v>0</v>
      </c>
      <c r="V17" s="364">
        <f t="shared" ref="V17:V58" si="17">IF(M17=0,0,U17*$U$3)</f>
        <v>0</v>
      </c>
      <c r="W17" s="575">
        <f t="shared" ref="W17:W58" si="18">M17*U17</f>
        <v>0</v>
      </c>
      <c r="X17" s="575">
        <f t="shared" ref="X17:X58" si="19">U17*(M17*$U$2)</f>
        <v>0</v>
      </c>
      <c r="Y17" s="575">
        <f t="shared" ref="Y17:Y58" si="20">U17*(M17*$AF$3)</f>
        <v>0</v>
      </c>
      <c r="Z17" s="575">
        <f t="shared" ref="Z17:Z58" si="21">U17*(M17*$U$2)*$AF$4</f>
        <v>0</v>
      </c>
      <c r="AA17" s="575">
        <f t="shared" ref="AA17:AA58" si="22">Y17+Z17</f>
        <v>0</v>
      </c>
      <c r="AB17" s="568">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57" t="s">
        <v>541</v>
      </c>
      <c r="B18" s="249" t="s">
        <v>526</v>
      </c>
      <c r="C18" s="249"/>
      <c r="D18" s="249" t="s">
        <v>609</v>
      </c>
      <c r="E18" s="249" t="s">
        <v>409</v>
      </c>
      <c r="F18" s="249"/>
      <c r="G18" s="260">
        <v>43599</v>
      </c>
      <c r="H18" s="252">
        <v>5</v>
      </c>
      <c r="I18" s="249">
        <v>3</v>
      </c>
      <c r="J18" s="382">
        <f>SUM(I18:I21)/(($K$8-$K$9)/$K$10)</f>
        <v>0.62608695652173907</v>
      </c>
      <c r="K18" s="570">
        <v>24840</v>
      </c>
      <c r="L18" s="384">
        <f>16221.5-K18</f>
        <v>-8618.5</v>
      </c>
      <c r="M18" s="422"/>
      <c r="N18" s="422"/>
      <c r="O18" s="422"/>
      <c r="P18" s="422"/>
      <c r="Q18" s="422"/>
      <c r="R18" s="422"/>
      <c r="S18" s="576">
        <f t="shared" si="14"/>
        <v>0</v>
      </c>
      <c r="T18" s="576">
        <f t="shared" si="15"/>
        <v>0</v>
      </c>
      <c r="U18" s="578">
        <f t="shared" si="16"/>
        <v>0</v>
      </c>
      <c r="V18" s="390">
        <f t="shared" si="17"/>
        <v>0</v>
      </c>
      <c r="W18" s="576">
        <f t="shared" si="18"/>
        <v>0</v>
      </c>
      <c r="X18" s="576">
        <f t="shared" si="19"/>
        <v>0</v>
      </c>
      <c r="Y18" s="576">
        <f t="shared" si="20"/>
        <v>0</v>
      </c>
      <c r="Z18" s="576">
        <f t="shared" si="21"/>
        <v>0</v>
      </c>
      <c r="AA18" s="576">
        <f t="shared" si="22"/>
        <v>0</v>
      </c>
      <c r="AB18" s="579">
        <f t="shared" si="23"/>
        <v>0</v>
      </c>
      <c r="AC18" s="580"/>
      <c r="AD18" s="558"/>
      <c r="AE18" s="231">
        <f t="shared" si="2"/>
        <v>0</v>
      </c>
      <c r="AF18" s="236">
        <f t="shared" si="3"/>
        <v>0</v>
      </c>
      <c r="AG18" s="236">
        <f t="shared" si="4"/>
        <v>0</v>
      </c>
      <c r="AH18" s="239">
        <f t="shared" si="5"/>
        <v>0</v>
      </c>
      <c r="AI18" s="240">
        <f t="shared" si="6"/>
        <v>0.05</v>
      </c>
      <c r="AJ18" s="241">
        <f t="shared" si="7"/>
        <v>0</v>
      </c>
      <c r="AK18" s="241">
        <f t="shared" si="8"/>
        <v>0</v>
      </c>
      <c r="AL18" s="239">
        <f t="shared" si="9"/>
        <v>0</v>
      </c>
      <c r="AM18" s="239">
        <f t="shared" si="10"/>
        <v>0</v>
      </c>
      <c r="AN18" s="239">
        <f t="shared" si="11"/>
        <v>0</v>
      </c>
      <c r="AO18" s="242">
        <f t="shared" si="12"/>
        <v>0</v>
      </c>
      <c r="AP18" s="172">
        <f t="shared" si="0"/>
        <v>-8153.2794314381272</v>
      </c>
      <c r="AQ18" s="243">
        <f t="shared" si="13"/>
        <v>0</v>
      </c>
      <c r="AR18" s="243">
        <f t="shared" si="1"/>
        <v>-8153.2794314381272</v>
      </c>
    </row>
    <row r="19" spans="1:44" ht="15" x14ac:dyDescent="0.25">
      <c r="A19" s="557"/>
      <c r="B19" s="249" t="s">
        <v>526</v>
      </c>
      <c r="C19" s="249"/>
      <c r="D19" s="249" t="s">
        <v>613</v>
      </c>
      <c r="E19" s="249" t="s">
        <v>387</v>
      </c>
      <c r="F19" s="249"/>
      <c r="G19" s="260">
        <v>43599</v>
      </c>
      <c r="H19" s="252">
        <v>10</v>
      </c>
      <c r="I19" s="249">
        <v>8</v>
      </c>
      <c r="J19" s="569"/>
      <c r="K19" s="570"/>
      <c r="L19" s="384"/>
      <c r="M19" s="422">
        <f>[4]CBA!M19</f>
        <v>68</v>
      </c>
      <c r="N19" s="422">
        <f>[4]CBA!N19</f>
        <v>10</v>
      </c>
      <c r="O19" s="422">
        <f>[4]CBA!O19</f>
        <v>136</v>
      </c>
      <c r="P19" s="422">
        <f>[4]CBA!P19</f>
        <v>544</v>
      </c>
      <c r="Q19" s="422">
        <f>[4]CBA!Q19</f>
        <v>20576.191999999999</v>
      </c>
      <c r="R19" s="422">
        <f>[4]CBA!R19</f>
        <v>11240</v>
      </c>
      <c r="S19" s="576">
        <f t="shared" si="14"/>
        <v>817.36</v>
      </c>
      <c r="T19" s="576">
        <f t="shared" si="15"/>
        <v>4577.7599999999993</v>
      </c>
      <c r="U19" s="578">
        <f t="shared" si="16"/>
        <v>0.18181818181818182</v>
      </c>
      <c r="V19" s="390">
        <f t="shared" si="17"/>
        <v>90.909090909090907</v>
      </c>
      <c r="W19" s="576">
        <f t="shared" si="18"/>
        <v>12.363636363636363</v>
      </c>
      <c r="X19" s="576">
        <f t="shared" si="19"/>
        <v>49.454545454545453</v>
      </c>
      <c r="Y19" s="576">
        <f t="shared" si="20"/>
        <v>148.6109090909091</v>
      </c>
      <c r="Z19" s="576">
        <f t="shared" si="21"/>
        <v>832.31999999999994</v>
      </c>
      <c r="AA19" s="576">
        <f t="shared" si="22"/>
        <v>980.93090909090904</v>
      </c>
      <c r="AB19" s="579">
        <f t="shared" si="23"/>
        <v>38283.151999999995</v>
      </c>
      <c r="AC19" s="580">
        <f>[4]CBA!AC19</f>
        <v>420</v>
      </c>
      <c r="AD19" s="558">
        <f>[4]CBA!AD19</f>
        <v>8</v>
      </c>
      <c r="AE19" s="231">
        <f t="shared" si="2"/>
        <v>3360</v>
      </c>
      <c r="AF19" s="236">
        <f t="shared" si="3"/>
        <v>5048.3999999999996</v>
      </c>
      <c r="AG19" s="236">
        <f t="shared" si="4"/>
        <v>56548.799999999996</v>
      </c>
      <c r="AH19" s="239">
        <f t="shared" si="5"/>
        <v>61597.2</v>
      </c>
      <c r="AI19" s="240">
        <f t="shared" si="6"/>
        <v>0.05</v>
      </c>
      <c r="AJ19" s="241">
        <f t="shared" si="7"/>
        <v>21</v>
      </c>
      <c r="AK19" s="241">
        <f t="shared" si="8"/>
        <v>168</v>
      </c>
      <c r="AL19" s="239">
        <f t="shared" si="9"/>
        <v>3079.86</v>
      </c>
      <c r="AM19" s="239">
        <f t="shared" si="10"/>
        <v>252.42</v>
      </c>
      <c r="AN19" s="239">
        <f t="shared" si="11"/>
        <v>2827.44</v>
      </c>
      <c r="AO19" s="242">
        <f t="shared" si="12"/>
        <v>99880.351999999984</v>
      </c>
      <c r="AP19" s="172">
        <f t="shared" si="0"/>
        <v>83573.793137123736</v>
      </c>
      <c r="AQ19" s="243">
        <f t="shared" si="13"/>
        <v>41363.011999999995</v>
      </c>
      <c r="AR19" s="243">
        <f t="shared" si="1"/>
        <v>25056.453137123739</v>
      </c>
    </row>
    <row r="20" spans="1:44" ht="15" x14ac:dyDescent="0.25">
      <c r="A20" s="557"/>
      <c r="B20" s="249" t="s">
        <v>526</v>
      </c>
      <c r="C20" s="249"/>
      <c r="D20" s="249" t="s">
        <v>614</v>
      </c>
      <c r="E20" s="249" t="s">
        <v>387</v>
      </c>
      <c r="F20" s="249"/>
      <c r="G20" s="260">
        <v>43609</v>
      </c>
      <c r="H20" s="252">
        <v>10</v>
      </c>
      <c r="I20" s="249">
        <v>8</v>
      </c>
      <c r="J20" s="570"/>
      <c r="K20" s="570"/>
      <c r="L20" s="384"/>
      <c r="M20" s="422">
        <f>[4]CBA!M20</f>
        <v>86</v>
      </c>
      <c r="N20" s="422">
        <f>[4]CBA!N20</f>
        <v>10</v>
      </c>
      <c r="O20" s="422">
        <f>[4]CBA!O20</f>
        <v>172</v>
      </c>
      <c r="P20" s="422">
        <f>[4]CBA!P20</f>
        <v>688</v>
      </c>
      <c r="Q20" s="422">
        <f>[4]CBA!Q20</f>
        <v>20829.714285714286</v>
      </c>
      <c r="R20" s="422">
        <f>[4]CBA!R20</f>
        <v>13416</v>
      </c>
      <c r="S20" s="576">
        <f t="shared" si="14"/>
        <v>1033.72</v>
      </c>
      <c r="T20" s="576">
        <f t="shared" si="15"/>
        <v>5789.5199999999995</v>
      </c>
      <c r="U20" s="578">
        <f t="shared" si="16"/>
        <v>0.18181818181818182</v>
      </c>
      <c r="V20" s="390">
        <f t="shared" si="17"/>
        <v>90.909090909090907</v>
      </c>
      <c r="W20" s="576">
        <f t="shared" si="18"/>
        <v>15.636363636363637</v>
      </c>
      <c r="X20" s="576">
        <f t="shared" si="19"/>
        <v>62.545454545454547</v>
      </c>
      <c r="Y20" s="576">
        <f t="shared" si="20"/>
        <v>187.94909090909093</v>
      </c>
      <c r="Z20" s="576">
        <f t="shared" si="21"/>
        <v>1052.6399999999999</v>
      </c>
      <c r="AA20" s="576">
        <f t="shared" si="22"/>
        <v>1240.5890909090908</v>
      </c>
      <c r="AB20" s="579">
        <f t="shared" si="23"/>
        <v>42400.452467532465</v>
      </c>
      <c r="AC20" s="580">
        <f>[4]CBA!AC20</f>
        <v>722</v>
      </c>
      <c r="AD20" s="558">
        <f>[4]CBA!AD20</f>
        <v>8</v>
      </c>
      <c r="AE20" s="231">
        <f t="shared" si="2"/>
        <v>5776</v>
      </c>
      <c r="AF20" s="236">
        <f t="shared" si="3"/>
        <v>8678.44</v>
      </c>
      <c r="AG20" s="236">
        <f t="shared" si="4"/>
        <v>97210.079999999987</v>
      </c>
      <c r="AH20" s="239">
        <f t="shared" si="5"/>
        <v>105888.51999999999</v>
      </c>
      <c r="AI20" s="240">
        <f t="shared" si="6"/>
        <v>0.05</v>
      </c>
      <c r="AJ20" s="241">
        <f t="shared" si="7"/>
        <v>36.1</v>
      </c>
      <c r="AK20" s="241">
        <f t="shared" si="8"/>
        <v>288.8</v>
      </c>
      <c r="AL20" s="239">
        <f t="shared" si="9"/>
        <v>5294.4259999999995</v>
      </c>
      <c r="AM20" s="239">
        <f t="shared" si="10"/>
        <v>433.92200000000003</v>
      </c>
      <c r="AN20" s="239">
        <f t="shared" si="11"/>
        <v>4860.5039999999999</v>
      </c>
      <c r="AO20" s="242">
        <f t="shared" si="12"/>
        <v>148288.97246753244</v>
      </c>
      <c r="AP20" s="172">
        <f t="shared" si="0"/>
        <v>131982.41360465618</v>
      </c>
      <c r="AQ20" s="243">
        <f t="shared" si="13"/>
        <v>47694.878467532464</v>
      </c>
      <c r="AR20" s="243">
        <f t="shared" si="1"/>
        <v>31388.319604656208</v>
      </c>
    </row>
    <row r="21" spans="1:44" ht="15" x14ac:dyDescent="0.25">
      <c r="A21" s="557"/>
      <c r="B21" s="249" t="s">
        <v>526</v>
      </c>
      <c r="C21" s="249"/>
      <c r="D21" s="249" t="s">
        <v>615</v>
      </c>
      <c r="E21" s="249" t="s">
        <v>409</v>
      </c>
      <c r="F21" s="249"/>
      <c r="G21" s="260">
        <v>43616</v>
      </c>
      <c r="H21" s="252">
        <v>5</v>
      </c>
      <c r="I21" s="249">
        <v>5</v>
      </c>
      <c r="J21" s="570"/>
      <c r="K21" s="570"/>
      <c r="L21" s="384"/>
      <c r="M21" s="422">
        <f>[4]CBA!M21</f>
        <v>621</v>
      </c>
      <c r="N21" s="422">
        <f>[4]CBA!N21</f>
        <v>8</v>
      </c>
      <c r="O21" s="422">
        <f>[4]CBA!O21</f>
        <v>1242</v>
      </c>
      <c r="P21" s="422">
        <f>[4]CBA!P21</f>
        <v>4968</v>
      </c>
      <c r="Q21" s="422">
        <f>[4]CBA!Q21</f>
        <v>40976.399999999994</v>
      </c>
      <c r="R21" s="422">
        <f>[4]CBA!R21</f>
        <v>17360</v>
      </c>
      <c r="S21" s="576">
        <f t="shared" si="14"/>
        <v>7464.42</v>
      </c>
      <c r="T21" s="576">
        <f t="shared" si="15"/>
        <v>41805.719999999994</v>
      </c>
      <c r="U21" s="578">
        <f t="shared" si="16"/>
        <v>0.14545454545454545</v>
      </c>
      <c r="V21" s="390">
        <f t="shared" si="17"/>
        <v>72.72727272727272</v>
      </c>
      <c r="W21" s="576">
        <f t="shared" si="18"/>
        <v>90.327272727272728</v>
      </c>
      <c r="X21" s="576">
        <f t="shared" si="19"/>
        <v>361.30909090909091</v>
      </c>
      <c r="Y21" s="576">
        <f t="shared" si="20"/>
        <v>1085.7338181818182</v>
      </c>
      <c r="Z21" s="576">
        <f t="shared" si="21"/>
        <v>6080.8319999999994</v>
      </c>
      <c r="AA21" s="576">
        <f t="shared" si="22"/>
        <v>7166.565818181818</v>
      </c>
      <c r="AB21" s="579">
        <f t="shared" si="23"/>
        <v>114845.83309090907</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114845.83309090907</v>
      </c>
      <c r="AP21" s="172">
        <f t="shared" si="0"/>
        <v>106692.55365947094</v>
      </c>
      <c r="AQ21" s="243">
        <f t="shared" si="13"/>
        <v>114845.83309090907</v>
      </c>
      <c r="AR21" s="243">
        <f t="shared" si="1"/>
        <v>106692.55365947094</v>
      </c>
    </row>
    <row r="22" spans="1:44" ht="15" x14ac:dyDescent="0.25">
      <c r="A22" s="555" t="s">
        <v>546</v>
      </c>
      <c r="B22" s="555" t="s">
        <v>526</v>
      </c>
      <c r="C22" s="266"/>
      <c r="D22" s="266" t="s">
        <v>616</v>
      </c>
      <c r="E22" s="266" t="s">
        <v>486</v>
      </c>
      <c r="F22" s="266"/>
      <c r="G22" s="268">
        <v>43623</v>
      </c>
      <c r="H22" s="269">
        <v>5</v>
      </c>
      <c r="I22" s="266">
        <v>5</v>
      </c>
      <c r="J22" s="349">
        <f>SUM(I22:I24)/(($K$8-$K$9)/$K$10)</f>
        <v>0.52173913043478259</v>
      </c>
      <c r="K22" s="571">
        <v>24840</v>
      </c>
      <c r="L22" s="351">
        <f>97212.3-K22</f>
        <v>72372.3</v>
      </c>
      <c r="M22" s="497">
        <f>[4]CBA!M22</f>
        <v>16</v>
      </c>
      <c r="N22" s="497">
        <f>[4]CBA!N22</f>
        <v>10</v>
      </c>
      <c r="O22" s="497">
        <f>[4]CBA!O22</f>
        <v>32</v>
      </c>
      <c r="P22" s="497">
        <f>[4]CBA!P22</f>
        <v>256</v>
      </c>
      <c r="Q22" s="497">
        <f>[4]CBA!Q22</f>
        <v>34377.919999999998</v>
      </c>
      <c r="R22" s="497">
        <f>[4]CBA!R22</f>
        <v>15792</v>
      </c>
      <c r="S22" s="575">
        <f t="shared" si="14"/>
        <v>192.32</v>
      </c>
      <c r="T22" s="575">
        <f t="shared" si="15"/>
        <v>2154.2399999999998</v>
      </c>
      <c r="U22" s="577">
        <f t="shared" si="16"/>
        <v>0.18181818181818182</v>
      </c>
      <c r="V22" s="364">
        <f t="shared" si="17"/>
        <v>90.909090909090907</v>
      </c>
      <c r="W22" s="575">
        <f t="shared" si="18"/>
        <v>2.9090909090909092</v>
      </c>
      <c r="X22" s="575">
        <f t="shared" si="19"/>
        <v>11.636363636363637</v>
      </c>
      <c r="Y22" s="575">
        <f t="shared" si="20"/>
        <v>34.967272727272729</v>
      </c>
      <c r="Z22" s="575">
        <f t="shared" si="21"/>
        <v>195.83999999999997</v>
      </c>
      <c r="AA22" s="575">
        <f t="shared" si="22"/>
        <v>230.8072727272727</v>
      </c>
      <c r="AB22" s="568">
        <f t="shared" si="23"/>
        <v>52838.196363636358</v>
      </c>
      <c r="AC22" s="417"/>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52838.196363636358</v>
      </c>
      <c r="AP22" s="172">
        <f t="shared" si="0"/>
        <v>44684.916932198234</v>
      </c>
      <c r="AQ22" s="243">
        <f t="shared" si="13"/>
        <v>52838.196363636358</v>
      </c>
      <c r="AR22" s="243">
        <f t="shared" si="1"/>
        <v>44684.916932198234</v>
      </c>
    </row>
    <row r="23" spans="1:44" s="408" customFormat="1" ht="15" x14ac:dyDescent="0.25">
      <c r="A23" s="555"/>
      <c r="B23" s="555" t="s">
        <v>526</v>
      </c>
      <c r="C23" s="266"/>
      <c r="D23" s="275" t="s">
        <v>617</v>
      </c>
      <c r="E23" s="266" t="s">
        <v>486</v>
      </c>
      <c r="F23" s="266"/>
      <c r="G23" s="268">
        <v>43637</v>
      </c>
      <c r="H23" s="269">
        <v>5</v>
      </c>
      <c r="I23" s="266">
        <v>5</v>
      </c>
      <c r="J23" s="567"/>
      <c r="K23" s="571"/>
      <c r="L23" s="351"/>
      <c r="M23" s="497">
        <f>[4]CBA!M23</f>
        <v>0</v>
      </c>
      <c r="N23" s="497">
        <f>[4]CBA!N23</f>
        <v>0</v>
      </c>
      <c r="O23" s="497">
        <f>[4]CBA!O23</f>
        <v>0</v>
      </c>
      <c r="P23" s="497">
        <f>[4]CBA!P23</f>
        <v>0</v>
      </c>
      <c r="Q23" s="497">
        <f>[4]CBA!Q23</f>
        <v>0</v>
      </c>
      <c r="R23" s="497">
        <f>[4]CBA!R23</f>
        <v>0</v>
      </c>
      <c r="S23" s="575">
        <f t="shared" si="14"/>
        <v>0</v>
      </c>
      <c r="T23" s="575">
        <f t="shared" si="15"/>
        <v>0</v>
      </c>
      <c r="U23" s="577">
        <f t="shared" si="16"/>
        <v>0</v>
      </c>
      <c r="V23" s="364">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-8153.2794314381272</v>
      </c>
      <c r="AQ23" s="243">
        <f t="shared" si="13"/>
        <v>0</v>
      </c>
      <c r="AR23" s="243">
        <f t="shared" si="1"/>
        <v>-8153.2794314381272</v>
      </c>
    </row>
    <row r="24" spans="1:44" ht="15" x14ac:dyDescent="0.25">
      <c r="A24" s="418"/>
      <c r="B24" s="555" t="s">
        <v>533</v>
      </c>
      <c r="C24" s="266"/>
      <c r="D24" s="266" t="s">
        <v>537</v>
      </c>
      <c r="E24" s="275"/>
      <c r="F24" s="275"/>
      <c r="G24" s="273"/>
      <c r="H24" s="274">
        <v>10</v>
      </c>
      <c r="I24" s="275">
        <v>10</v>
      </c>
      <c r="J24" s="419"/>
      <c r="K24" s="419"/>
      <c r="L24" s="423"/>
      <c r="M24" s="505"/>
      <c r="N24" s="505"/>
      <c r="O24" s="505"/>
      <c r="P24" s="505"/>
      <c r="Q24" s="519"/>
      <c r="R24" s="275"/>
      <c r="S24" s="575">
        <f t="shared" si="14"/>
        <v>0</v>
      </c>
      <c r="T24" s="575">
        <f t="shared" si="15"/>
        <v>0</v>
      </c>
      <c r="U24" s="577">
        <f t="shared" si="16"/>
        <v>0</v>
      </c>
      <c r="V24" s="364">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-16306.558862876254</v>
      </c>
      <c r="AQ24" s="243">
        <f t="shared" si="13"/>
        <v>0</v>
      </c>
      <c r="AR24" s="243">
        <f t="shared" si="1"/>
        <v>-16306.558862876254</v>
      </c>
    </row>
    <row r="25" spans="1:44" ht="15" x14ac:dyDescent="0.25">
      <c r="A25" s="557" t="s">
        <v>550</v>
      </c>
      <c r="B25" s="249" t="s">
        <v>533</v>
      </c>
      <c r="C25" s="249"/>
      <c r="D25" s="249" t="s">
        <v>537</v>
      </c>
      <c r="E25" s="249"/>
      <c r="F25" s="249"/>
      <c r="G25" s="260"/>
      <c r="H25" s="252">
        <v>20</v>
      </c>
      <c r="I25" s="249">
        <v>20</v>
      </c>
      <c r="J25" s="382">
        <f>SUM(I25:I27)/(($K$8-$K$9)/$K$10)</f>
        <v>0.52173913043478259</v>
      </c>
      <c r="K25" s="570">
        <v>24840</v>
      </c>
      <c r="L25" s="384">
        <f>17385.7-K25</f>
        <v>-7454.2999999999993</v>
      </c>
      <c r="M25" s="422"/>
      <c r="N25" s="422"/>
      <c r="O25" s="422"/>
      <c r="P25" s="422"/>
      <c r="Q25" s="422"/>
      <c r="R25" s="422"/>
      <c r="S25" s="576">
        <f t="shared" si="14"/>
        <v>0</v>
      </c>
      <c r="T25" s="576">
        <f t="shared" si="15"/>
        <v>0</v>
      </c>
      <c r="U25" s="578">
        <f t="shared" si="16"/>
        <v>0</v>
      </c>
      <c r="V25" s="390">
        <f t="shared" si="17"/>
        <v>0</v>
      </c>
      <c r="W25" s="576">
        <f t="shared" si="18"/>
        <v>0</v>
      </c>
      <c r="X25" s="576">
        <f t="shared" si="19"/>
        <v>0</v>
      </c>
      <c r="Y25" s="576">
        <f t="shared" si="20"/>
        <v>0</v>
      </c>
      <c r="Z25" s="576">
        <f t="shared" si="21"/>
        <v>0</v>
      </c>
      <c r="AA25" s="576">
        <f t="shared" si="22"/>
        <v>0</v>
      </c>
      <c r="AB25" s="579">
        <f t="shared" si="23"/>
        <v>0</v>
      </c>
      <c r="AC25" s="422"/>
      <c r="AD25" s="249"/>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-32613.117725752509</v>
      </c>
      <c r="AQ25" s="243">
        <f t="shared" si="13"/>
        <v>0</v>
      </c>
      <c r="AR25" s="243">
        <f t="shared" si="1"/>
        <v>-32613.117725752509</v>
      </c>
    </row>
    <row r="26" spans="1:44" s="408" customFormat="1" ht="15" x14ac:dyDescent="0.25">
      <c r="A26" s="557"/>
      <c r="B26" s="249" t="s">
        <v>526</v>
      </c>
      <c r="C26" s="249"/>
      <c r="D26" s="249" t="s">
        <v>537</v>
      </c>
      <c r="E26" s="249"/>
      <c r="F26" s="249"/>
      <c r="G26" s="260"/>
      <c r="H26" s="252">
        <v>0</v>
      </c>
      <c r="I26" s="249">
        <v>0</v>
      </c>
      <c r="J26" s="569"/>
      <c r="K26" s="570"/>
      <c r="L26" s="384"/>
      <c r="M26" s="264"/>
      <c r="N26" s="264"/>
      <c r="O26" s="264"/>
      <c r="P26" s="264"/>
      <c r="Q26" s="520"/>
      <c r="R26" s="264"/>
      <c r="S26" s="576">
        <f t="shared" si="14"/>
        <v>0</v>
      </c>
      <c r="T26" s="576">
        <f t="shared" si="15"/>
        <v>0</v>
      </c>
      <c r="U26" s="578">
        <f t="shared" si="16"/>
        <v>0</v>
      </c>
      <c r="V26" s="390">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264"/>
      <c r="N27" s="264"/>
      <c r="O27" s="264"/>
      <c r="P27" s="264"/>
      <c r="Q27" s="520"/>
      <c r="R27" s="264"/>
      <c r="S27" s="576">
        <f t="shared" si="14"/>
        <v>0</v>
      </c>
      <c r="T27" s="576">
        <f t="shared" si="15"/>
        <v>0</v>
      </c>
      <c r="U27" s="578">
        <f t="shared" si="16"/>
        <v>0</v>
      </c>
      <c r="V27" s="390">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55" t="s">
        <v>555</v>
      </c>
      <c r="B28" s="555" t="s">
        <v>533</v>
      </c>
      <c r="C28" s="266"/>
      <c r="D28" s="266" t="s">
        <v>537</v>
      </c>
      <c r="E28" s="266"/>
      <c r="F28" s="266"/>
      <c r="G28" s="561"/>
      <c r="H28" s="564">
        <v>20</v>
      </c>
      <c r="I28" s="559">
        <v>20</v>
      </c>
      <c r="J28" s="349">
        <f>SUM(I28:I30)/(($K$8-$K$9)/$K$10)</f>
        <v>0.52173913043478259</v>
      </c>
      <c r="K28" s="571">
        <v>0</v>
      </c>
      <c r="L28" s="351">
        <f>37818.2-K28</f>
        <v>37818.199999999997</v>
      </c>
      <c r="M28" s="417"/>
      <c r="N28" s="417"/>
      <c r="O28" s="417"/>
      <c r="P28" s="417"/>
      <c r="Q28" s="417"/>
      <c r="R28" s="417"/>
      <c r="S28" s="575">
        <f t="shared" si="14"/>
        <v>0</v>
      </c>
      <c r="T28" s="575">
        <f t="shared" si="15"/>
        <v>0</v>
      </c>
      <c r="U28" s="577">
        <f t="shared" si="16"/>
        <v>0</v>
      </c>
      <c r="V28" s="364">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-32613.117725752509</v>
      </c>
      <c r="AQ28" s="243">
        <f t="shared" si="13"/>
        <v>0</v>
      </c>
      <c r="AR28" s="243">
        <f t="shared" si="1"/>
        <v>-32613.117725752509</v>
      </c>
    </row>
    <row r="29" spans="1:44" s="408" customFormat="1" ht="15" x14ac:dyDescent="0.25">
      <c r="A29" s="555"/>
      <c r="B29" s="555" t="s">
        <v>526</v>
      </c>
      <c r="C29" s="266"/>
      <c r="D29" s="266" t="s">
        <v>618</v>
      </c>
      <c r="E29" s="266"/>
      <c r="F29" s="266"/>
      <c r="G29" s="268"/>
      <c r="H29" s="269">
        <v>0</v>
      </c>
      <c r="I29" s="266">
        <v>0</v>
      </c>
      <c r="J29" s="567"/>
      <c r="K29" s="571"/>
      <c r="L29" s="351"/>
      <c r="M29" s="497"/>
      <c r="N29" s="497"/>
      <c r="O29" s="497"/>
      <c r="P29" s="497"/>
      <c r="Q29" s="497"/>
      <c r="R29" s="497"/>
      <c r="S29" s="575">
        <f t="shared" si="14"/>
        <v>0</v>
      </c>
      <c r="T29" s="575">
        <f t="shared" si="15"/>
        <v>0</v>
      </c>
      <c r="U29" s="577">
        <f t="shared" si="16"/>
        <v>0</v>
      </c>
      <c r="V29" s="364">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505"/>
      <c r="N30" s="505"/>
      <c r="O30" s="505"/>
      <c r="P30" s="505"/>
      <c r="Q30" s="519"/>
      <c r="R30" s="275"/>
      <c r="S30" s="575">
        <f t="shared" si="14"/>
        <v>0</v>
      </c>
      <c r="T30" s="575">
        <f t="shared" si="15"/>
        <v>0</v>
      </c>
      <c r="U30" s="577">
        <f t="shared" si="16"/>
        <v>0</v>
      </c>
      <c r="V30" s="364">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557" t="s">
        <v>557</v>
      </c>
      <c r="B31" s="249" t="s">
        <v>533</v>
      </c>
      <c r="C31" s="249"/>
      <c r="D31" s="249" t="s">
        <v>537</v>
      </c>
      <c r="E31" s="249"/>
      <c r="F31" s="249"/>
      <c r="G31" s="260"/>
      <c r="H31" s="252">
        <v>20</v>
      </c>
      <c r="I31" s="249">
        <v>20</v>
      </c>
      <c r="J31" s="382">
        <f>SUM(I31:I33)/(($K$8-$K$9)/$K$10)</f>
        <v>0.52173913043478259</v>
      </c>
      <c r="K31" s="570">
        <v>0</v>
      </c>
      <c r="L31" s="384">
        <f>17031.7-K31</f>
        <v>17031.7</v>
      </c>
      <c r="M31" s="522"/>
      <c r="N31" s="522"/>
      <c r="O31" s="522"/>
      <c r="P31" s="522"/>
      <c r="Q31" s="522"/>
      <c r="R31" s="522"/>
      <c r="S31" s="576">
        <f t="shared" si="14"/>
        <v>0</v>
      </c>
      <c r="T31" s="576">
        <f t="shared" si="15"/>
        <v>0</v>
      </c>
      <c r="U31" s="578">
        <f t="shared" si="16"/>
        <v>0</v>
      </c>
      <c r="V31" s="390">
        <f t="shared" si="17"/>
        <v>0</v>
      </c>
      <c r="W31" s="576">
        <f t="shared" si="18"/>
        <v>0</v>
      </c>
      <c r="X31" s="576">
        <f t="shared" si="19"/>
        <v>0</v>
      </c>
      <c r="Y31" s="576">
        <f t="shared" si="20"/>
        <v>0</v>
      </c>
      <c r="Z31" s="576">
        <f t="shared" si="21"/>
        <v>0</v>
      </c>
      <c r="AA31" s="576">
        <f t="shared" si="22"/>
        <v>0</v>
      </c>
      <c r="AB31" s="579">
        <f t="shared" si="23"/>
        <v>0</v>
      </c>
      <c r="AC31" s="580"/>
      <c r="AD31" s="558"/>
      <c r="AE31" s="231">
        <f t="shared" si="2"/>
        <v>0</v>
      </c>
      <c r="AF31" s="236">
        <f t="shared" si="3"/>
        <v>0</v>
      </c>
      <c r="AG31" s="236">
        <f t="shared" si="4"/>
        <v>0</v>
      </c>
      <c r="AH31" s="239">
        <f t="shared" si="5"/>
        <v>0</v>
      </c>
      <c r="AI31" s="240">
        <f t="shared" si="6"/>
        <v>0.05</v>
      </c>
      <c r="AJ31" s="241">
        <f t="shared" si="7"/>
        <v>0</v>
      </c>
      <c r="AK31" s="241">
        <f t="shared" si="8"/>
        <v>0</v>
      </c>
      <c r="AL31" s="239">
        <f t="shared" si="9"/>
        <v>0</v>
      </c>
      <c r="AM31" s="239">
        <f t="shared" si="10"/>
        <v>0</v>
      </c>
      <c r="AN31" s="239">
        <f t="shared" si="11"/>
        <v>0</v>
      </c>
      <c r="AO31" s="242">
        <f t="shared" si="12"/>
        <v>0</v>
      </c>
      <c r="AP31" s="172">
        <f t="shared" si="0"/>
        <v>-32613.117725752509</v>
      </c>
      <c r="AQ31" s="243">
        <f t="shared" si="13"/>
        <v>0</v>
      </c>
      <c r="AR31" s="243">
        <f t="shared" si="1"/>
        <v>-32613.117725752509</v>
      </c>
    </row>
    <row r="32" spans="1:44" ht="15" x14ac:dyDescent="0.25">
      <c r="A32" s="557"/>
      <c r="B32" s="249" t="s">
        <v>526</v>
      </c>
      <c r="C32" s="249"/>
      <c r="D32" s="249" t="s">
        <v>618</v>
      </c>
      <c r="E32" s="249"/>
      <c r="F32" s="249"/>
      <c r="G32" s="260"/>
      <c r="H32" s="252">
        <v>0</v>
      </c>
      <c r="I32" s="249">
        <v>0</v>
      </c>
      <c r="J32" s="569"/>
      <c r="K32" s="570"/>
      <c r="L32" s="527"/>
      <c r="M32" s="520"/>
      <c r="N32" s="520"/>
      <c r="O32" s="520"/>
      <c r="P32" s="520"/>
      <c r="Q32" s="520"/>
      <c r="R32" s="520"/>
      <c r="S32" s="576">
        <f t="shared" si="14"/>
        <v>0</v>
      </c>
      <c r="T32" s="576">
        <f t="shared" si="15"/>
        <v>0</v>
      </c>
      <c r="U32" s="578">
        <f t="shared" si="16"/>
        <v>0</v>
      </c>
      <c r="V32" s="390">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557"/>
      <c r="B33" s="249"/>
      <c r="C33" s="249"/>
      <c r="D33" s="249"/>
      <c r="E33" s="249"/>
      <c r="F33" s="249"/>
      <c r="G33" s="260"/>
      <c r="H33" s="252"/>
      <c r="I33" s="249"/>
      <c r="J33" s="569"/>
      <c r="K33" s="570"/>
      <c r="L33" s="527"/>
      <c r="M33" s="249"/>
      <c r="N33" s="249"/>
      <c r="O33" s="249"/>
      <c r="P33" s="249"/>
      <c r="Q33" s="422"/>
      <c r="R33" s="249"/>
      <c r="S33" s="576">
        <f t="shared" si="14"/>
        <v>0</v>
      </c>
      <c r="T33" s="576">
        <f t="shared" si="15"/>
        <v>0</v>
      </c>
      <c r="U33" s="578">
        <f t="shared" si="16"/>
        <v>0</v>
      </c>
      <c r="V33" s="390">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55" t="s">
        <v>559</v>
      </c>
      <c r="B34" s="555" t="s">
        <v>533</v>
      </c>
      <c r="C34" s="266"/>
      <c r="D34" s="266" t="s">
        <v>619</v>
      </c>
      <c r="E34" s="266" t="s">
        <v>486</v>
      </c>
      <c r="F34" s="266"/>
      <c r="G34" s="268">
        <v>43749</v>
      </c>
      <c r="H34" s="269">
        <v>10</v>
      </c>
      <c r="I34" s="266">
        <v>10</v>
      </c>
      <c r="J34" s="349">
        <f>SUM(I34:I36)/(($K$8-$K$9)/$K$10)</f>
        <v>0.65217391304347827</v>
      </c>
      <c r="K34" s="571">
        <v>0</v>
      </c>
      <c r="L34" s="351">
        <f>19955.2-K34</f>
        <v>19955.2</v>
      </c>
      <c r="M34" s="417">
        <f>[4]CBA!M34</f>
        <v>0</v>
      </c>
      <c r="N34" s="417">
        <f>[4]CBA!N34</f>
        <v>5</v>
      </c>
      <c r="O34" s="417">
        <f>[4]CBA!O34</f>
        <v>0</v>
      </c>
      <c r="P34" s="417">
        <f>[4]CBA!P34</f>
        <v>0</v>
      </c>
      <c r="Q34" s="417">
        <f>[4]CBA!Q34</f>
        <v>0</v>
      </c>
      <c r="R34" s="417">
        <f>[4]CBA!R34</f>
        <v>0</v>
      </c>
      <c r="S34" s="575">
        <f t="shared" si="14"/>
        <v>0</v>
      </c>
      <c r="T34" s="575">
        <f t="shared" si="15"/>
        <v>0</v>
      </c>
      <c r="U34" s="577">
        <f t="shared" si="16"/>
        <v>9.0909090909090912E-2</v>
      </c>
      <c r="V34" s="364">
        <f t="shared" si="17"/>
        <v>0</v>
      </c>
      <c r="W34" s="575">
        <f t="shared" si="18"/>
        <v>0</v>
      </c>
      <c r="X34" s="575">
        <f t="shared" si="19"/>
        <v>0</v>
      </c>
      <c r="Y34" s="575">
        <f t="shared" si="20"/>
        <v>0</v>
      </c>
      <c r="Z34" s="575">
        <f t="shared" si="21"/>
        <v>0</v>
      </c>
      <c r="AA34" s="575">
        <f t="shared" si="22"/>
        <v>0</v>
      </c>
      <c r="AB34" s="568">
        <f t="shared" si="23"/>
        <v>0</v>
      </c>
      <c r="AC34" s="417">
        <f>[4]CBA!AC34</f>
        <v>2460</v>
      </c>
      <c r="AD34" s="417">
        <f>[4]CBA!AD34</f>
        <v>4</v>
      </c>
      <c r="AE34" s="231">
        <f t="shared" si="2"/>
        <v>9840</v>
      </c>
      <c r="AF34" s="236">
        <f t="shared" si="3"/>
        <v>29569.200000000001</v>
      </c>
      <c r="AG34" s="236">
        <f t="shared" si="4"/>
        <v>165607.19999999998</v>
      </c>
      <c r="AH34" s="239">
        <f t="shared" si="5"/>
        <v>195176.4</v>
      </c>
      <c r="AI34" s="240">
        <f t="shared" si="6"/>
        <v>0.05</v>
      </c>
      <c r="AJ34" s="241">
        <f t="shared" si="7"/>
        <v>123</v>
      </c>
      <c r="AK34" s="241">
        <f t="shared" si="8"/>
        <v>492</v>
      </c>
      <c r="AL34" s="239">
        <f t="shared" si="9"/>
        <v>9758.82</v>
      </c>
      <c r="AM34" s="239">
        <f t="shared" si="10"/>
        <v>1478.46</v>
      </c>
      <c r="AN34" s="239">
        <f t="shared" si="11"/>
        <v>8280.3599999999988</v>
      </c>
      <c r="AO34" s="242">
        <f t="shared" si="12"/>
        <v>195176.4</v>
      </c>
      <c r="AP34" s="172">
        <f t="shared" si="0"/>
        <v>178869.84113712373</v>
      </c>
      <c r="AQ34" s="243">
        <f t="shared" si="13"/>
        <v>9758.82</v>
      </c>
      <c r="AR34" s="243">
        <f t="shared" si="1"/>
        <v>-6547.7388628762546</v>
      </c>
    </row>
    <row r="35" spans="1:44" ht="15" x14ac:dyDescent="0.25">
      <c r="A35" s="555"/>
      <c r="B35" s="555" t="s">
        <v>533</v>
      </c>
      <c r="C35" s="266"/>
      <c r="D35" s="266" t="s">
        <v>620</v>
      </c>
      <c r="E35" s="266" t="s">
        <v>387</v>
      </c>
      <c r="F35" s="266"/>
      <c r="G35" s="268">
        <v>43777</v>
      </c>
      <c r="H35" s="269">
        <v>20</v>
      </c>
      <c r="I35" s="266">
        <v>15</v>
      </c>
      <c r="J35" s="349"/>
      <c r="K35" s="571"/>
      <c r="L35" s="351"/>
      <c r="M35" s="417">
        <f>[4]CBA!M35</f>
        <v>1</v>
      </c>
      <c r="N35" s="417">
        <f>[4]CBA!N35</f>
        <v>7</v>
      </c>
      <c r="O35" s="417">
        <f>[4]CBA!O35</f>
        <v>1</v>
      </c>
      <c r="P35" s="417">
        <f>[4]CBA!P35</f>
        <v>2</v>
      </c>
      <c r="Q35" s="417">
        <f>[4]CBA!Q35</f>
        <v>1952.56</v>
      </c>
      <c r="R35" s="417">
        <f>[4]CBA!R35</f>
        <v>2556</v>
      </c>
      <c r="S35" s="575">
        <f t="shared" si="14"/>
        <v>6.01</v>
      </c>
      <c r="T35" s="575">
        <f t="shared" si="15"/>
        <v>16.829999999999998</v>
      </c>
      <c r="U35" s="577">
        <f t="shared" si="16"/>
        <v>0.12727272727272726</v>
      </c>
      <c r="V35" s="364">
        <f t="shared" si="17"/>
        <v>63.636363636363633</v>
      </c>
      <c r="W35" s="575">
        <f t="shared" si="18"/>
        <v>0.12727272727272726</v>
      </c>
      <c r="X35" s="575">
        <f t="shared" si="19"/>
        <v>0.50909090909090904</v>
      </c>
      <c r="Y35" s="575">
        <f t="shared" si="20"/>
        <v>1.5298181818181815</v>
      </c>
      <c r="Z35" s="575">
        <f t="shared" si="21"/>
        <v>8.5679999999999978</v>
      </c>
      <c r="AA35" s="575">
        <f t="shared" si="22"/>
        <v>10.09781818181818</v>
      </c>
      <c r="AB35" s="568">
        <f t="shared" si="23"/>
        <v>4605.1341818181818</v>
      </c>
      <c r="AC35" s="417">
        <f>[4]CBA!AC35</f>
        <v>933</v>
      </c>
      <c r="AD35" s="417">
        <f>[4]CBA!AD35</f>
        <v>6</v>
      </c>
      <c r="AE35" s="231">
        <f t="shared" si="2"/>
        <v>5598</v>
      </c>
      <c r="AF35" s="236">
        <f t="shared" si="3"/>
        <v>11214.66</v>
      </c>
      <c r="AG35" s="236">
        <f t="shared" si="4"/>
        <v>94214.34</v>
      </c>
      <c r="AH35" s="239">
        <f t="shared" si="5"/>
        <v>105429</v>
      </c>
      <c r="AI35" s="240">
        <f t="shared" si="6"/>
        <v>0.05</v>
      </c>
      <c r="AJ35" s="241">
        <f t="shared" si="7"/>
        <v>46.650000000000006</v>
      </c>
      <c r="AK35" s="241">
        <f t="shared" si="8"/>
        <v>279.90000000000003</v>
      </c>
      <c r="AL35" s="239">
        <f t="shared" si="9"/>
        <v>5271.4500000000007</v>
      </c>
      <c r="AM35" s="239">
        <f t="shared" si="10"/>
        <v>560.73300000000006</v>
      </c>
      <c r="AN35" s="239">
        <f t="shared" si="11"/>
        <v>4710.7169999999996</v>
      </c>
      <c r="AO35" s="242">
        <f t="shared" si="12"/>
        <v>110034.13418181818</v>
      </c>
      <c r="AP35" s="172">
        <f t="shared" si="0"/>
        <v>77421.01645606567</v>
      </c>
      <c r="AQ35" s="243">
        <f t="shared" si="13"/>
        <v>9876.5841818181834</v>
      </c>
      <c r="AR35" s="243">
        <f t="shared" si="1"/>
        <v>-22736.533543934325</v>
      </c>
    </row>
    <row r="36" spans="1:44" ht="15" x14ac:dyDescent="0.25">
      <c r="A36" s="555"/>
      <c r="B36" s="555" t="s">
        <v>526</v>
      </c>
      <c r="C36" s="266"/>
      <c r="D36" s="266" t="s">
        <v>618</v>
      </c>
      <c r="E36" s="266"/>
      <c r="F36" s="266"/>
      <c r="G36" s="268"/>
      <c r="H36" s="269">
        <v>0</v>
      </c>
      <c r="I36" s="266">
        <v>0</v>
      </c>
      <c r="J36" s="349"/>
      <c r="K36" s="571"/>
      <c r="L36" s="351"/>
      <c r="M36" s="505"/>
      <c r="N36" s="505"/>
      <c r="O36" s="505"/>
      <c r="P36" s="505"/>
      <c r="Q36" s="417"/>
      <c r="R36" s="266"/>
      <c r="S36" s="575">
        <f t="shared" si="14"/>
        <v>0</v>
      </c>
      <c r="T36" s="575">
        <f t="shared" si="15"/>
        <v>0</v>
      </c>
      <c r="U36" s="577">
        <f t="shared" si="16"/>
        <v>0</v>
      </c>
      <c r="V36" s="364">
        <f t="shared" si="17"/>
        <v>0</v>
      </c>
      <c r="W36" s="575">
        <f t="shared" si="18"/>
        <v>0</v>
      </c>
      <c r="X36" s="575">
        <f t="shared" si="19"/>
        <v>0</v>
      </c>
      <c r="Y36" s="575">
        <f t="shared" si="20"/>
        <v>0</v>
      </c>
      <c r="Z36" s="575">
        <f t="shared" si="21"/>
        <v>0</v>
      </c>
      <c r="AA36" s="575">
        <f t="shared" si="22"/>
        <v>0</v>
      </c>
      <c r="AB36" s="568">
        <f t="shared" si="23"/>
        <v>0</v>
      </c>
      <c r="AC36" s="505"/>
      <c r="AD36" s="505"/>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555"/>
      <c r="B37" s="555"/>
      <c r="C37" s="266"/>
      <c r="D37" s="266"/>
      <c r="E37" s="266"/>
      <c r="F37" s="266"/>
      <c r="G37" s="268"/>
      <c r="H37" s="269"/>
      <c r="I37" s="266"/>
      <c r="J37" s="567"/>
      <c r="K37" s="571"/>
      <c r="L37" s="351"/>
      <c r="M37" s="266"/>
      <c r="N37" s="266"/>
      <c r="O37" s="266"/>
      <c r="P37" s="266"/>
      <c r="Q37" s="417"/>
      <c r="R37" s="266"/>
      <c r="S37" s="575">
        <f t="shared" si="14"/>
        <v>0</v>
      </c>
      <c r="T37" s="575">
        <f t="shared" si="15"/>
        <v>0</v>
      </c>
      <c r="U37" s="577">
        <f t="shared" si="16"/>
        <v>0</v>
      </c>
      <c r="V37" s="364">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57" t="s">
        <v>565</v>
      </c>
      <c r="B38" s="249" t="s">
        <v>533</v>
      </c>
      <c r="C38" s="249"/>
      <c r="D38" s="249" t="s">
        <v>620</v>
      </c>
      <c r="E38" s="249" t="s">
        <v>387</v>
      </c>
      <c r="F38" s="249"/>
      <c r="G38" s="260">
        <v>43777</v>
      </c>
      <c r="H38" s="252">
        <v>20</v>
      </c>
      <c r="I38" s="249">
        <v>5</v>
      </c>
      <c r="J38" s="382">
        <f>SUM(I38:I42)/(($K$8-$K$9)/$K$10)</f>
        <v>0.65217391304347827</v>
      </c>
      <c r="K38" s="570">
        <v>24840</v>
      </c>
      <c r="L38" s="384">
        <f>69207.2-K38</f>
        <v>44367.199999999997</v>
      </c>
      <c r="M38" s="422">
        <f>[4]CBA!M38</f>
        <v>1</v>
      </c>
      <c r="N38" s="422">
        <f>[4]CBA!N38</f>
        <v>7</v>
      </c>
      <c r="O38" s="422">
        <f>[4]CBA!O38</f>
        <v>1</v>
      </c>
      <c r="P38" s="422">
        <f>[4]CBA!P38</f>
        <v>2</v>
      </c>
      <c r="Q38" s="422">
        <f>[4]CBA!Q38</f>
        <v>1952.56</v>
      </c>
      <c r="R38" s="422">
        <f>[4]CBA!R38</f>
        <v>2556</v>
      </c>
      <c r="S38" s="576">
        <f t="shared" si="14"/>
        <v>6.01</v>
      </c>
      <c r="T38" s="576">
        <f t="shared" si="15"/>
        <v>16.829999999999998</v>
      </c>
      <c r="U38" s="578">
        <f t="shared" si="16"/>
        <v>0.12727272727272726</v>
      </c>
      <c r="V38" s="390">
        <f t="shared" si="17"/>
        <v>63.636363636363633</v>
      </c>
      <c r="W38" s="576">
        <f t="shared" si="18"/>
        <v>0.12727272727272726</v>
      </c>
      <c r="X38" s="576">
        <f t="shared" si="19"/>
        <v>0.50909090909090904</v>
      </c>
      <c r="Y38" s="576">
        <f t="shared" si="20"/>
        <v>1.5298181818181815</v>
      </c>
      <c r="Z38" s="576">
        <f t="shared" si="21"/>
        <v>8.5679999999999978</v>
      </c>
      <c r="AA38" s="576">
        <f t="shared" si="22"/>
        <v>10.09781818181818</v>
      </c>
      <c r="AB38" s="579">
        <f t="shared" si="23"/>
        <v>4605.1341818181818</v>
      </c>
      <c r="AC38" s="422">
        <f>[4]CBA!AC38</f>
        <v>933</v>
      </c>
      <c r="AD38" s="422">
        <f>[4]CBA!AD38</f>
        <v>6</v>
      </c>
      <c r="AE38" s="231">
        <f t="shared" si="2"/>
        <v>5598</v>
      </c>
      <c r="AF38" s="236">
        <f t="shared" si="3"/>
        <v>11214.66</v>
      </c>
      <c r="AG38" s="236">
        <f t="shared" si="4"/>
        <v>94214.34</v>
      </c>
      <c r="AH38" s="239">
        <f t="shared" si="5"/>
        <v>105429</v>
      </c>
      <c r="AI38" s="240">
        <f t="shared" si="6"/>
        <v>0.05</v>
      </c>
      <c r="AJ38" s="241">
        <f t="shared" si="7"/>
        <v>46.650000000000006</v>
      </c>
      <c r="AK38" s="241">
        <f t="shared" si="8"/>
        <v>279.90000000000003</v>
      </c>
      <c r="AL38" s="239">
        <f t="shared" si="9"/>
        <v>5271.4500000000007</v>
      </c>
      <c r="AM38" s="239">
        <f t="shared" si="10"/>
        <v>560.73300000000006</v>
      </c>
      <c r="AN38" s="239">
        <f t="shared" si="11"/>
        <v>4710.7169999999996</v>
      </c>
      <c r="AO38" s="242">
        <f t="shared" si="12"/>
        <v>110034.13418181818</v>
      </c>
      <c r="AP38" s="172">
        <f t="shared" si="0"/>
        <v>77421.01645606567</v>
      </c>
      <c r="AQ38" s="243">
        <f t="shared" si="13"/>
        <v>9876.5841818181834</v>
      </c>
      <c r="AR38" s="243">
        <f t="shared" si="1"/>
        <v>-22736.533543934325</v>
      </c>
    </row>
    <row r="39" spans="1:44" ht="15" x14ac:dyDescent="0.25">
      <c r="A39" s="557"/>
      <c r="B39" s="249" t="s">
        <v>526</v>
      </c>
      <c r="C39" s="249"/>
      <c r="D39" s="249" t="s">
        <v>562</v>
      </c>
      <c r="E39" s="249" t="s">
        <v>387</v>
      </c>
      <c r="F39" s="249"/>
      <c r="G39" s="260">
        <v>43784</v>
      </c>
      <c r="H39" s="252">
        <v>10</v>
      </c>
      <c r="I39" s="249">
        <v>10</v>
      </c>
      <c r="J39" s="382"/>
      <c r="K39" s="570"/>
      <c r="L39" s="384"/>
      <c r="M39" s="422">
        <f>[4]CBA!M39</f>
        <v>0</v>
      </c>
      <c r="N39" s="422">
        <f>[4]CBA!N39</f>
        <v>0</v>
      </c>
      <c r="O39" s="422">
        <f>[4]CBA!O39</f>
        <v>0</v>
      </c>
      <c r="P39" s="422">
        <f>[4]CBA!P39</f>
        <v>0</v>
      </c>
      <c r="Q39" s="422">
        <f>[4]CBA!Q39</f>
        <v>2481.8240000000001</v>
      </c>
      <c r="R39" s="422">
        <f>[4]CBA!R39</f>
        <v>2472</v>
      </c>
      <c r="S39" s="576">
        <f t="shared" si="14"/>
        <v>0</v>
      </c>
      <c r="T39" s="576">
        <f t="shared" si="15"/>
        <v>0</v>
      </c>
      <c r="U39" s="578">
        <f t="shared" si="16"/>
        <v>0</v>
      </c>
      <c r="V39" s="390">
        <f t="shared" si="17"/>
        <v>0</v>
      </c>
      <c r="W39" s="576">
        <f t="shared" si="18"/>
        <v>0</v>
      </c>
      <c r="X39" s="576">
        <f t="shared" si="19"/>
        <v>0</v>
      </c>
      <c r="Y39" s="576">
        <f t="shared" si="20"/>
        <v>0</v>
      </c>
      <c r="Z39" s="576">
        <f t="shared" si="21"/>
        <v>0</v>
      </c>
      <c r="AA39" s="576">
        <f t="shared" si="22"/>
        <v>0</v>
      </c>
      <c r="AB39" s="579">
        <f t="shared" si="23"/>
        <v>4953.8240000000005</v>
      </c>
      <c r="AC39" s="422">
        <f>[4]CBA!AC39</f>
        <v>1249</v>
      </c>
      <c r="AD39" s="422">
        <f>[4]CBA!AD39</f>
        <v>6</v>
      </c>
      <c r="AE39" s="231">
        <f t="shared" si="2"/>
        <v>7494</v>
      </c>
      <c r="AF39" s="236">
        <f t="shared" si="3"/>
        <v>15012.98</v>
      </c>
      <c r="AG39" s="236">
        <f t="shared" si="4"/>
        <v>126124.01999999999</v>
      </c>
      <c r="AH39" s="239">
        <f t="shared" si="5"/>
        <v>141137</v>
      </c>
      <c r="AI39" s="240">
        <f t="shared" si="6"/>
        <v>0.05</v>
      </c>
      <c r="AJ39" s="241">
        <f t="shared" si="7"/>
        <v>62.45</v>
      </c>
      <c r="AK39" s="241">
        <f t="shared" si="8"/>
        <v>374.70000000000005</v>
      </c>
      <c r="AL39" s="239">
        <f t="shared" si="9"/>
        <v>7056.85</v>
      </c>
      <c r="AM39" s="239">
        <f t="shared" si="10"/>
        <v>750.649</v>
      </c>
      <c r="AN39" s="239">
        <f t="shared" si="11"/>
        <v>6306.201</v>
      </c>
      <c r="AO39" s="242">
        <f t="shared" si="12"/>
        <v>146090.82399999999</v>
      </c>
      <c r="AP39" s="172">
        <f t="shared" si="0"/>
        <v>129784.26513712374</v>
      </c>
      <c r="AQ39" s="243">
        <f t="shared" si="13"/>
        <v>12010.674000000001</v>
      </c>
      <c r="AR39" s="243">
        <f t="shared" si="1"/>
        <v>-4295.8848628762535</v>
      </c>
    </row>
    <row r="40" spans="1:44" ht="15" x14ac:dyDescent="0.25">
      <c r="A40" s="557"/>
      <c r="B40" s="249" t="s">
        <v>533</v>
      </c>
      <c r="C40" s="249"/>
      <c r="D40" s="249" t="s">
        <v>394</v>
      </c>
      <c r="E40" s="249"/>
      <c r="F40" s="249"/>
      <c r="G40" s="260">
        <v>43791</v>
      </c>
      <c r="H40" s="252">
        <v>10</v>
      </c>
      <c r="I40" s="249">
        <v>10</v>
      </c>
      <c r="J40" s="382"/>
      <c r="K40" s="570"/>
      <c r="L40" s="384"/>
      <c r="M40" s="422">
        <f>[4]CBA!M40</f>
        <v>34</v>
      </c>
      <c r="N40" s="422">
        <f>[4]CBA!N40</f>
        <v>5</v>
      </c>
      <c r="O40" s="422">
        <f>[4]CBA!O40</f>
        <v>34</v>
      </c>
      <c r="P40" s="422">
        <f>[4]CBA!P40</f>
        <v>204</v>
      </c>
      <c r="Q40" s="422">
        <f>[4]CBA!Q40</f>
        <v>29374.719999999998</v>
      </c>
      <c r="R40" s="422">
        <f>[4]CBA!R40</f>
        <v>11644</v>
      </c>
      <c r="S40" s="576">
        <f t="shared" si="14"/>
        <v>204.34</v>
      </c>
      <c r="T40" s="576">
        <f t="shared" si="15"/>
        <v>1716.6599999999999</v>
      </c>
      <c r="U40" s="578">
        <f t="shared" si="16"/>
        <v>9.0909090909090912E-2</v>
      </c>
      <c r="V40" s="390">
        <f t="shared" si="17"/>
        <v>45.454545454545453</v>
      </c>
      <c r="W40" s="576">
        <f t="shared" si="18"/>
        <v>3.0909090909090908</v>
      </c>
      <c r="X40" s="576">
        <f t="shared" si="19"/>
        <v>12.363636363636363</v>
      </c>
      <c r="Y40" s="576">
        <f t="shared" si="20"/>
        <v>37.152727272727276</v>
      </c>
      <c r="Z40" s="576">
        <f t="shared" si="21"/>
        <v>208.07999999999998</v>
      </c>
      <c r="AA40" s="576">
        <f t="shared" si="22"/>
        <v>245.23272727272726</v>
      </c>
      <c r="AB40" s="579">
        <f t="shared" si="23"/>
        <v>43230.407272727272</v>
      </c>
      <c r="AC40" s="422">
        <f>[4]CBA!AC40</f>
        <v>575</v>
      </c>
      <c r="AD40" s="422">
        <f>[4]CBA!AD40</f>
        <v>6</v>
      </c>
      <c r="AE40" s="231">
        <f t="shared" si="2"/>
        <v>3450</v>
      </c>
      <c r="AF40" s="236">
        <f t="shared" si="3"/>
        <v>6911.5</v>
      </c>
      <c r="AG40" s="236">
        <f t="shared" si="4"/>
        <v>58063.499999999993</v>
      </c>
      <c r="AH40" s="239">
        <f t="shared" si="5"/>
        <v>64974.999999999993</v>
      </c>
      <c r="AI40" s="240">
        <f t="shared" si="6"/>
        <v>0.05</v>
      </c>
      <c r="AJ40" s="241">
        <f t="shared" si="7"/>
        <v>28.75</v>
      </c>
      <c r="AK40" s="241">
        <f t="shared" si="8"/>
        <v>172.5</v>
      </c>
      <c r="AL40" s="239">
        <f t="shared" si="9"/>
        <v>3248.75</v>
      </c>
      <c r="AM40" s="239">
        <f t="shared" si="10"/>
        <v>345.57500000000005</v>
      </c>
      <c r="AN40" s="239">
        <f t="shared" si="11"/>
        <v>2903.1749999999997</v>
      </c>
      <c r="AO40" s="242">
        <f t="shared" si="12"/>
        <v>108205.40727272726</v>
      </c>
      <c r="AP40" s="172">
        <f t="shared" si="0"/>
        <v>91898.848409851009</v>
      </c>
      <c r="AQ40" s="243">
        <f t="shared" si="13"/>
        <v>46479.157272727272</v>
      </c>
      <c r="AR40" s="243">
        <f t="shared" si="1"/>
        <v>30172.598409851016</v>
      </c>
    </row>
    <row r="41" spans="1:44" s="408" customFormat="1" ht="15" x14ac:dyDescent="0.25">
      <c r="A41" s="557"/>
      <c r="B41" s="249"/>
      <c r="C41" s="249"/>
      <c r="D41" s="249"/>
      <c r="E41" s="249"/>
      <c r="F41" s="249"/>
      <c r="G41" s="260"/>
      <c r="H41" s="252"/>
      <c r="I41" s="249"/>
      <c r="J41" s="569"/>
      <c r="K41" s="570"/>
      <c r="L41" s="384"/>
      <c r="M41" s="249"/>
      <c r="N41" s="249"/>
      <c r="O41" s="249"/>
      <c r="P41" s="249"/>
      <c r="Q41" s="422"/>
      <c r="R41" s="249"/>
      <c r="S41" s="576">
        <f t="shared" si="14"/>
        <v>0</v>
      </c>
      <c r="T41" s="576">
        <f t="shared" si="15"/>
        <v>0</v>
      </c>
      <c r="U41" s="578">
        <f t="shared" si="16"/>
        <v>0</v>
      </c>
      <c r="V41" s="390">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384"/>
      <c r="M42" s="250"/>
      <c r="N42" s="249"/>
      <c r="O42" s="249"/>
      <c r="P42" s="249"/>
      <c r="Q42" s="422"/>
      <c r="R42" s="249"/>
      <c r="S42" s="576">
        <f t="shared" si="14"/>
        <v>0</v>
      </c>
      <c r="T42" s="576">
        <f t="shared" si="15"/>
        <v>0</v>
      </c>
      <c r="U42" s="578">
        <f t="shared" si="16"/>
        <v>0</v>
      </c>
      <c r="V42" s="390">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55" t="s">
        <v>569</v>
      </c>
      <c r="B43" s="555" t="s">
        <v>526</v>
      </c>
      <c r="C43" s="266"/>
      <c r="D43" s="266" t="s">
        <v>621</v>
      </c>
      <c r="E43" s="559"/>
      <c r="F43" s="559"/>
      <c r="G43" s="268">
        <v>43482</v>
      </c>
      <c r="H43" s="564">
        <v>22</v>
      </c>
      <c r="I43" s="266">
        <v>12</v>
      </c>
      <c r="J43" s="349">
        <f>SUM(I43:I45)/(($K$8-$K$9)/$K$10)</f>
        <v>0.49565217391304345</v>
      </c>
      <c r="K43" s="571">
        <v>24840</v>
      </c>
      <c r="L43" s="351">
        <f>-38453-K43</f>
        <v>-63293</v>
      </c>
      <c r="M43" s="417">
        <f>[4]CBA!M43</f>
        <v>268</v>
      </c>
      <c r="N43" s="417">
        <f>[4]CBA!N43</f>
        <v>10</v>
      </c>
      <c r="O43" s="417">
        <f>[4]CBA!O43</f>
        <v>268</v>
      </c>
      <c r="P43" s="417">
        <f>[4]CBA!P43</f>
        <v>1072</v>
      </c>
      <c r="Q43" s="417">
        <f>[4]CBA!Q43</f>
        <v>61884.24</v>
      </c>
      <c r="R43" s="417">
        <f>[4]CBA!R43</f>
        <v>8696</v>
      </c>
      <c r="S43" s="575">
        <f t="shared" si="14"/>
        <v>1610.6799999999998</v>
      </c>
      <c r="T43" s="575">
        <f t="shared" si="15"/>
        <v>9020.8799999999992</v>
      </c>
      <c r="U43" s="577">
        <f t="shared" si="16"/>
        <v>0.18181818181818182</v>
      </c>
      <c r="V43" s="364">
        <f t="shared" si="17"/>
        <v>90.909090909090907</v>
      </c>
      <c r="W43" s="575">
        <f t="shared" si="18"/>
        <v>48.727272727272727</v>
      </c>
      <c r="X43" s="575">
        <f t="shared" si="19"/>
        <v>194.90909090909091</v>
      </c>
      <c r="Y43" s="575">
        <f t="shared" si="20"/>
        <v>585.70181818181811</v>
      </c>
      <c r="Z43" s="575">
        <f t="shared" si="21"/>
        <v>3280.3199999999997</v>
      </c>
      <c r="AA43" s="575">
        <f t="shared" si="22"/>
        <v>3866.0218181818177</v>
      </c>
      <c r="AB43" s="568">
        <f t="shared" si="23"/>
        <v>85168.730909090897</v>
      </c>
      <c r="AC43" s="417">
        <f>[4]CBA!AC43</f>
        <v>421</v>
      </c>
      <c r="AD43" s="417">
        <f>[4]CBA!AD43</f>
        <v>6</v>
      </c>
      <c r="AE43" s="231">
        <f t="shared" si="2"/>
        <v>2526</v>
      </c>
      <c r="AF43" s="236">
        <f t="shared" si="3"/>
        <v>5060.42</v>
      </c>
      <c r="AG43" s="236">
        <f t="shared" si="4"/>
        <v>42512.579999999994</v>
      </c>
      <c r="AH43" s="239">
        <f t="shared" si="5"/>
        <v>47572.999999999993</v>
      </c>
      <c r="AI43" s="240">
        <f t="shared" si="6"/>
        <v>0.05</v>
      </c>
      <c r="AJ43" s="241">
        <f t="shared" si="7"/>
        <v>21.05</v>
      </c>
      <c r="AK43" s="241">
        <f t="shared" si="8"/>
        <v>126.30000000000001</v>
      </c>
      <c r="AL43" s="239">
        <f t="shared" si="9"/>
        <v>2378.6499999999996</v>
      </c>
      <c r="AM43" s="239">
        <f t="shared" si="10"/>
        <v>253.02100000000002</v>
      </c>
      <c r="AN43" s="239">
        <f t="shared" si="11"/>
        <v>2125.6289999999999</v>
      </c>
      <c r="AO43" s="242">
        <f t="shared" si="12"/>
        <v>132741.7309090909</v>
      </c>
      <c r="AP43" s="172">
        <f t="shared" si="0"/>
        <v>96867.301410763146</v>
      </c>
      <c r="AQ43" s="243">
        <f t="shared" si="13"/>
        <v>87547.380909090891</v>
      </c>
      <c r="AR43" s="243">
        <f t="shared" si="1"/>
        <v>51672.951410763133</v>
      </c>
    </row>
    <row r="44" spans="1:44" ht="15" x14ac:dyDescent="0.25">
      <c r="A44" s="555"/>
      <c r="B44" s="555" t="s">
        <v>533</v>
      </c>
      <c r="C44" s="266"/>
      <c r="D44" s="266" t="s">
        <v>622</v>
      </c>
      <c r="E44" s="559"/>
      <c r="F44" s="559"/>
      <c r="G44" s="268">
        <v>43809</v>
      </c>
      <c r="H44" s="564">
        <v>7</v>
      </c>
      <c r="I44" s="266">
        <v>7</v>
      </c>
      <c r="J44" s="567"/>
      <c r="K44" s="571"/>
      <c r="L44" s="351"/>
      <c r="M44" s="417">
        <f>[4]CBA!M44</f>
        <v>48</v>
      </c>
      <c r="N44" s="417">
        <f>[4]CBA!N44</f>
        <v>7</v>
      </c>
      <c r="O44" s="417">
        <f>[4]CBA!O44</f>
        <v>48</v>
      </c>
      <c r="P44" s="417">
        <f>[4]CBA!P44</f>
        <v>192</v>
      </c>
      <c r="Q44" s="417">
        <f>[4]CBA!Q44</f>
        <v>13769.5872</v>
      </c>
      <c r="R44" s="417">
        <f>[4]CBA!R44</f>
        <v>4732</v>
      </c>
      <c r="S44" s="575">
        <f t="shared" si="14"/>
        <v>288.48</v>
      </c>
      <c r="T44" s="575">
        <f t="shared" si="15"/>
        <v>1615.6799999999998</v>
      </c>
      <c r="U44" s="577">
        <f t="shared" si="16"/>
        <v>0.12727272727272726</v>
      </c>
      <c r="V44" s="364">
        <f t="shared" si="17"/>
        <v>63.636363636363633</v>
      </c>
      <c r="W44" s="575">
        <f t="shared" si="18"/>
        <v>6.1090909090909085</v>
      </c>
      <c r="X44" s="575">
        <f t="shared" si="19"/>
        <v>24.436363636363634</v>
      </c>
      <c r="Y44" s="575">
        <f t="shared" si="20"/>
        <v>73.431272727272727</v>
      </c>
      <c r="Z44" s="575">
        <f t="shared" si="21"/>
        <v>411.2639999999999</v>
      </c>
      <c r="AA44" s="575">
        <f t="shared" si="22"/>
        <v>484.6952727272726</v>
      </c>
      <c r="AB44" s="568">
        <f t="shared" si="23"/>
        <v>20954.078836363638</v>
      </c>
      <c r="AC44" s="417">
        <v>0</v>
      </c>
      <c r="AD44" s="417">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20954.078836363638</v>
      </c>
      <c r="AP44" s="172">
        <f t="shared" si="0"/>
        <v>9539.4876323502613</v>
      </c>
      <c r="AQ44" s="243">
        <f t="shared" si="13"/>
        <v>20954.078836363638</v>
      </c>
      <c r="AR44" s="243">
        <f t="shared" si="1"/>
        <v>9539.4876323502613</v>
      </c>
    </row>
    <row r="45" spans="1:44" ht="15" x14ac:dyDescent="0.25">
      <c r="A45" s="555"/>
      <c r="B45" s="555"/>
      <c r="C45" s="266"/>
      <c r="D45" s="266"/>
      <c r="E45" s="559"/>
      <c r="F45" s="559"/>
      <c r="G45" s="268"/>
      <c r="H45" s="564"/>
      <c r="I45" s="266"/>
      <c r="J45" s="349"/>
      <c r="K45" s="571"/>
      <c r="L45" s="351"/>
      <c r="M45" s="417"/>
      <c r="N45" s="417"/>
      <c r="O45" s="417"/>
      <c r="P45" s="417"/>
      <c r="Q45" s="417"/>
      <c r="R45" s="417"/>
      <c r="S45" s="575"/>
      <c r="T45" s="575"/>
      <c r="U45" s="577"/>
      <c r="V45" s="364"/>
      <c r="W45" s="575"/>
      <c r="X45" s="575"/>
      <c r="Y45" s="575"/>
      <c r="Z45" s="575"/>
      <c r="AA45" s="575"/>
      <c r="AB45" s="568"/>
      <c r="AC45" s="417"/>
      <c r="AD45" s="417"/>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55"/>
      <c r="B46" s="555"/>
      <c r="C46" s="266"/>
      <c r="D46" s="266"/>
      <c r="E46" s="559"/>
      <c r="F46" s="559"/>
      <c r="G46" s="268"/>
      <c r="H46" s="564"/>
      <c r="I46" s="266"/>
      <c r="J46" s="349"/>
      <c r="K46" s="571"/>
      <c r="L46" s="351"/>
      <c r="M46" s="266"/>
      <c r="N46" s="266"/>
      <c r="O46" s="266"/>
      <c r="P46" s="266"/>
      <c r="Q46" s="417"/>
      <c r="R46" s="266"/>
      <c r="S46" s="575">
        <f t="shared" si="14"/>
        <v>0</v>
      </c>
      <c r="T46" s="575">
        <f t="shared" si="15"/>
        <v>0</v>
      </c>
      <c r="U46" s="577">
        <f t="shared" si="16"/>
        <v>0</v>
      </c>
      <c r="V46" s="364">
        <f t="shared" si="17"/>
        <v>0</v>
      </c>
      <c r="W46" s="575">
        <f t="shared" si="18"/>
        <v>0</v>
      </c>
      <c r="X46" s="575">
        <f t="shared" si="19"/>
        <v>0</v>
      </c>
      <c r="Y46" s="575">
        <f t="shared" si="20"/>
        <v>0</v>
      </c>
      <c r="Z46" s="575">
        <f t="shared" si="21"/>
        <v>0</v>
      </c>
      <c r="AA46" s="575">
        <f t="shared" si="22"/>
        <v>0</v>
      </c>
      <c r="AB46" s="568">
        <f t="shared" si="23"/>
        <v>0</v>
      </c>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557" t="s">
        <v>571</v>
      </c>
      <c r="B47" s="249" t="s">
        <v>526</v>
      </c>
      <c r="C47" s="558"/>
      <c r="D47" s="558" t="s">
        <v>513</v>
      </c>
      <c r="E47" s="558" t="s">
        <v>560</v>
      </c>
      <c r="F47" s="558"/>
      <c r="G47" s="260">
        <v>43847</v>
      </c>
      <c r="H47" s="566">
        <v>10</v>
      </c>
      <c r="I47" s="558">
        <v>8</v>
      </c>
      <c r="J47" s="382">
        <f>SUM(I47:I50)/(($K$8-$K$9)/$K$10)</f>
        <v>1.2521739130434781</v>
      </c>
      <c r="K47" s="570">
        <v>24840</v>
      </c>
      <c r="L47" s="384">
        <f>231131-K47</f>
        <v>206291</v>
      </c>
      <c r="M47" s="422">
        <f>[4]CBA!M47</f>
        <v>248</v>
      </c>
      <c r="N47" s="422">
        <f>[4]CBA!N47</f>
        <v>10</v>
      </c>
      <c r="O47" s="422">
        <f>[4]CBA!O47</f>
        <v>248</v>
      </c>
      <c r="P47" s="422">
        <f>[4]CBA!P47</f>
        <v>992</v>
      </c>
      <c r="Q47" s="422">
        <f>[4]CBA!Q47</f>
        <v>54750.479999999996</v>
      </c>
      <c r="R47" s="422">
        <f>[4]CBA!R47</f>
        <v>10864</v>
      </c>
      <c r="S47" s="576">
        <f t="shared" si="14"/>
        <v>1490.48</v>
      </c>
      <c r="T47" s="576">
        <f t="shared" si="15"/>
        <v>8347.6799999999985</v>
      </c>
      <c r="U47" s="578">
        <f t="shared" si="16"/>
        <v>0.18181818181818182</v>
      </c>
      <c r="V47" s="390">
        <f t="shared" si="17"/>
        <v>90.909090909090907</v>
      </c>
      <c r="W47" s="576">
        <f t="shared" si="18"/>
        <v>45.090909090909093</v>
      </c>
      <c r="X47" s="576">
        <f t="shared" si="19"/>
        <v>180.36363636363637</v>
      </c>
      <c r="Y47" s="576">
        <f t="shared" si="20"/>
        <v>541.99272727272728</v>
      </c>
      <c r="Z47" s="576">
        <f t="shared" si="21"/>
        <v>3035.52</v>
      </c>
      <c r="AA47" s="576">
        <f t="shared" si="22"/>
        <v>3577.5127272727273</v>
      </c>
      <c r="AB47" s="579">
        <f t="shared" si="23"/>
        <v>79121.061818181799</v>
      </c>
      <c r="AC47" s="422">
        <f>[4]CBA!AC47</f>
        <v>1255</v>
      </c>
      <c r="AD47" s="422">
        <f>[4]CBA!AD47</f>
        <v>6</v>
      </c>
      <c r="AE47" s="231">
        <f t="shared" si="2"/>
        <v>7530</v>
      </c>
      <c r="AF47" s="236">
        <f t="shared" si="3"/>
        <v>15085.1</v>
      </c>
      <c r="AG47" s="236">
        <f t="shared" si="4"/>
        <v>126729.9</v>
      </c>
      <c r="AH47" s="239">
        <f t="shared" si="5"/>
        <v>141815</v>
      </c>
      <c r="AI47" s="240">
        <f t="shared" si="6"/>
        <v>0.05</v>
      </c>
      <c r="AJ47" s="241">
        <f t="shared" si="7"/>
        <v>62.75</v>
      </c>
      <c r="AK47" s="241">
        <f t="shared" si="8"/>
        <v>376.5</v>
      </c>
      <c r="AL47" s="239">
        <f t="shared" si="9"/>
        <v>7090.75</v>
      </c>
      <c r="AM47" s="239">
        <f t="shared" si="10"/>
        <v>754.25500000000011</v>
      </c>
      <c r="AN47" s="239">
        <f t="shared" si="11"/>
        <v>6336.4949999999999</v>
      </c>
      <c r="AO47" s="242">
        <f t="shared" si="12"/>
        <v>220936.0618181818</v>
      </c>
      <c r="AP47" s="172">
        <f t="shared" si="0"/>
        <v>204629.50295530554</v>
      </c>
      <c r="AQ47" s="243">
        <f t="shared" si="13"/>
        <v>86211.811818181799</v>
      </c>
      <c r="AR47" s="243">
        <f t="shared" si="1"/>
        <v>69905.25295530555</v>
      </c>
    </row>
    <row r="48" spans="1:44" ht="15" x14ac:dyDescent="0.25">
      <c r="A48" s="557"/>
      <c r="B48" s="249" t="s">
        <v>533</v>
      </c>
      <c r="C48" s="558"/>
      <c r="D48" s="558" t="s">
        <v>623</v>
      </c>
      <c r="E48" s="558" t="s">
        <v>387</v>
      </c>
      <c r="F48" s="558"/>
      <c r="G48" s="260">
        <v>43847</v>
      </c>
      <c r="H48" s="566">
        <v>5</v>
      </c>
      <c r="I48" s="558">
        <v>35</v>
      </c>
      <c r="J48" s="382"/>
      <c r="K48" s="570"/>
      <c r="L48" s="384"/>
      <c r="M48" s="422">
        <f>[4]CBA!M48</f>
        <v>284</v>
      </c>
      <c r="N48" s="422">
        <f>[4]CBA!N48</f>
        <v>0</v>
      </c>
      <c r="O48" s="422">
        <f>[4]CBA!O48</f>
        <v>284</v>
      </c>
      <c r="P48" s="422">
        <f>[4]CBA!P48</f>
        <v>1136</v>
      </c>
      <c r="Q48" s="422">
        <f>[4]CBA!Q48</f>
        <v>393172.85714285716</v>
      </c>
      <c r="R48" s="422">
        <f>[4]CBA!R48</f>
        <v>8212</v>
      </c>
      <c r="S48" s="576">
        <f t="shared" si="14"/>
        <v>1706.84</v>
      </c>
      <c r="T48" s="576">
        <f t="shared" si="15"/>
        <v>9559.4399999999987</v>
      </c>
      <c r="U48" s="578">
        <f t="shared" si="16"/>
        <v>0</v>
      </c>
      <c r="V48" s="390">
        <f t="shared" si="17"/>
        <v>0</v>
      </c>
      <c r="W48" s="576">
        <f t="shared" si="18"/>
        <v>0</v>
      </c>
      <c r="X48" s="576">
        <f t="shared" si="19"/>
        <v>0</v>
      </c>
      <c r="Y48" s="576">
        <f t="shared" si="20"/>
        <v>0</v>
      </c>
      <c r="Z48" s="576">
        <f t="shared" si="21"/>
        <v>0</v>
      </c>
      <c r="AA48" s="576">
        <f t="shared" si="22"/>
        <v>0</v>
      </c>
      <c r="AB48" s="579">
        <f t="shared" si="23"/>
        <v>412651.13714285719</v>
      </c>
      <c r="AC48" s="422">
        <f>[4]CBA!AC48</f>
        <v>864</v>
      </c>
      <c r="AD48" s="422">
        <f>[4]CBA!AD48</f>
        <v>6</v>
      </c>
      <c r="AE48" s="231">
        <f t="shared" si="2"/>
        <v>5184</v>
      </c>
      <c r="AF48" s="236">
        <f t="shared" si="3"/>
        <v>10385.279999999999</v>
      </c>
      <c r="AG48" s="236">
        <f t="shared" si="4"/>
        <v>87246.719999999987</v>
      </c>
      <c r="AH48" s="239">
        <f t="shared" si="5"/>
        <v>97631.999999999985</v>
      </c>
      <c r="AI48" s="240">
        <f t="shared" si="6"/>
        <v>0.05</v>
      </c>
      <c r="AJ48" s="241">
        <f t="shared" si="7"/>
        <v>43.2</v>
      </c>
      <c r="AK48" s="241">
        <f t="shared" si="8"/>
        <v>259.2</v>
      </c>
      <c r="AL48" s="239">
        <f t="shared" si="9"/>
        <v>4881.5999999999995</v>
      </c>
      <c r="AM48" s="239">
        <f t="shared" si="10"/>
        <v>519.26400000000001</v>
      </c>
      <c r="AN48" s="239">
        <f t="shared" si="11"/>
        <v>4362.3359999999993</v>
      </c>
      <c r="AO48" s="242">
        <f t="shared" si="12"/>
        <v>510283.13714285719</v>
      </c>
      <c r="AP48" s="172">
        <f t="shared" si="0"/>
        <v>502129.85771141906</v>
      </c>
      <c r="AQ48" s="243">
        <f t="shared" si="13"/>
        <v>417532.73714285716</v>
      </c>
      <c r="AR48" s="243">
        <f t="shared" si="1"/>
        <v>409379.45771141903</v>
      </c>
    </row>
    <row r="49" spans="1:44" ht="15" x14ac:dyDescent="0.25">
      <c r="A49" s="557"/>
      <c r="B49" s="249" t="s">
        <v>526</v>
      </c>
      <c r="C49" s="558"/>
      <c r="D49" s="558" t="s">
        <v>624</v>
      </c>
      <c r="E49" s="558" t="s">
        <v>387</v>
      </c>
      <c r="F49" s="558"/>
      <c r="G49" s="260">
        <v>43854</v>
      </c>
      <c r="H49" s="566">
        <v>5</v>
      </c>
      <c r="I49" s="558">
        <v>5</v>
      </c>
      <c r="J49" s="382"/>
      <c r="K49" s="570"/>
      <c r="L49" s="384"/>
      <c r="M49" s="422">
        <f>[4]CBA!M49</f>
        <v>22</v>
      </c>
      <c r="N49" s="422">
        <f>[4]CBA!N49</f>
        <v>5</v>
      </c>
      <c r="O49" s="422">
        <f>[4]CBA!O49</f>
        <v>22</v>
      </c>
      <c r="P49" s="422">
        <f>[4]CBA!P49</f>
        <v>88</v>
      </c>
      <c r="Q49" s="422">
        <f>[4]CBA!Q49</f>
        <v>24398.352941176472</v>
      </c>
      <c r="R49" s="422">
        <f>[4]CBA!R49</f>
        <v>3644</v>
      </c>
      <c r="S49" s="576">
        <f t="shared" si="14"/>
        <v>132.22</v>
      </c>
      <c r="T49" s="576">
        <f t="shared" si="15"/>
        <v>740.52</v>
      </c>
      <c r="U49" s="578">
        <f t="shared" si="16"/>
        <v>9.0909090909090912E-2</v>
      </c>
      <c r="V49" s="390">
        <f t="shared" si="17"/>
        <v>45.454545454545453</v>
      </c>
      <c r="W49" s="576">
        <f t="shared" si="18"/>
        <v>2</v>
      </c>
      <c r="X49" s="576">
        <f t="shared" si="19"/>
        <v>8</v>
      </c>
      <c r="Y49" s="576">
        <f t="shared" si="20"/>
        <v>24.04</v>
      </c>
      <c r="Z49" s="576">
        <f t="shared" si="21"/>
        <v>134.63999999999999</v>
      </c>
      <c r="AA49" s="576">
        <f t="shared" si="22"/>
        <v>158.67999999999998</v>
      </c>
      <c r="AB49" s="579">
        <f t="shared" si="23"/>
        <v>29119.227486631018</v>
      </c>
      <c r="AC49" s="422">
        <f>[4]CBA!AC49</f>
        <v>2460</v>
      </c>
      <c r="AD49" s="422">
        <f>[4]CBA!AD49</f>
        <v>6</v>
      </c>
      <c r="AE49" s="231">
        <f t="shared" si="2"/>
        <v>14760</v>
      </c>
      <c r="AF49" s="236">
        <f t="shared" si="3"/>
        <v>29569.200000000001</v>
      </c>
      <c r="AG49" s="236">
        <f t="shared" si="4"/>
        <v>248410.8</v>
      </c>
      <c r="AH49" s="239">
        <f t="shared" si="5"/>
        <v>277980</v>
      </c>
      <c r="AI49" s="240">
        <f t="shared" si="6"/>
        <v>0.05</v>
      </c>
      <c r="AJ49" s="241">
        <f t="shared" si="7"/>
        <v>123</v>
      </c>
      <c r="AK49" s="241">
        <f t="shared" si="8"/>
        <v>738</v>
      </c>
      <c r="AL49" s="239">
        <f t="shared" si="9"/>
        <v>13899</v>
      </c>
      <c r="AM49" s="239">
        <f t="shared" si="10"/>
        <v>1478.46</v>
      </c>
      <c r="AN49" s="239">
        <f t="shared" si="11"/>
        <v>12420.54</v>
      </c>
      <c r="AO49" s="242">
        <f t="shared" si="12"/>
        <v>307099.22748663102</v>
      </c>
      <c r="AP49" s="172">
        <f t="shared" si="0"/>
        <v>298945.94805519289</v>
      </c>
      <c r="AQ49" s="243">
        <f t="shared" si="13"/>
        <v>43018.227486631018</v>
      </c>
      <c r="AR49" s="243">
        <f t="shared" si="1"/>
        <v>34864.948055192894</v>
      </c>
    </row>
    <row r="50" spans="1:44" ht="15" x14ac:dyDescent="0.25">
      <c r="A50" s="557"/>
      <c r="B50" s="558"/>
      <c r="C50" s="558"/>
      <c r="D50" s="558"/>
      <c r="E50" s="558"/>
      <c r="F50" s="558"/>
      <c r="G50" s="260"/>
      <c r="H50" s="566"/>
      <c r="I50" s="558"/>
      <c r="J50" s="569"/>
      <c r="K50" s="570"/>
      <c r="L50" s="384"/>
      <c r="M50" s="249"/>
      <c r="N50" s="249"/>
      <c r="O50" s="249"/>
      <c r="P50" s="249"/>
      <c r="Q50" s="422"/>
      <c r="R50" s="249"/>
      <c r="S50" s="576">
        <f t="shared" si="14"/>
        <v>0</v>
      </c>
      <c r="T50" s="576">
        <f t="shared" si="15"/>
        <v>0</v>
      </c>
      <c r="U50" s="578">
        <f t="shared" si="16"/>
        <v>0</v>
      </c>
      <c r="V50" s="390">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55" t="s">
        <v>575</v>
      </c>
      <c r="B51" s="555" t="s">
        <v>526</v>
      </c>
      <c r="C51" s="559"/>
      <c r="D51" s="559" t="s">
        <v>625</v>
      </c>
      <c r="E51" s="559" t="s">
        <v>486</v>
      </c>
      <c r="F51" s="559"/>
      <c r="G51" s="561">
        <v>43875</v>
      </c>
      <c r="H51" s="564">
        <v>20</v>
      </c>
      <c r="I51" s="559">
        <v>20</v>
      </c>
      <c r="J51" s="349">
        <f>SUM(I51:I55)/(($K$8-$K$9)/$K$10)</f>
        <v>0.75652173913043474</v>
      </c>
      <c r="K51" s="571">
        <v>24840</v>
      </c>
      <c r="L51" s="351">
        <f>-50332-K51</f>
        <v>-75172</v>
      </c>
      <c r="M51" s="417">
        <f>[4]CBA!M51</f>
        <v>0</v>
      </c>
      <c r="N51" s="417">
        <f>[4]CBA!N51</f>
        <v>10</v>
      </c>
      <c r="O51" s="417">
        <f>[4]CBA!O51</f>
        <v>0</v>
      </c>
      <c r="P51" s="417">
        <f>[4]CBA!P51</f>
        <v>0</v>
      </c>
      <c r="Q51" s="417">
        <f>[4]CBA!Q51</f>
        <v>0</v>
      </c>
      <c r="R51" s="417">
        <f>[4]CBA!R51</f>
        <v>0</v>
      </c>
      <c r="S51" s="575">
        <f t="shared" si="14"/>
        <v>0</v>
      </c>
      <c r="T51" s="575">
        <f t="shared" si="15"/>
        <v>0</v>
      </c>
      <c r="U51" s="577">
        <f t="shared" si="16"/>
        <v>0.18181818181818182</v>
      </c>
      <c r="V51" s="364">
        <f t="shared" si="17"/>
        <v>0</v>
      </c>
      <c r="W51" s="575">
        <f t="shared" si="18"/>
        <v>0</v>
      </c>
      <c r="X51" s="575">
        <f t="shared" si="19"/>
        <v>0</v>
      </c>
      <c r="Y51" s="575">
        <f t="shared" si="20"/>
        <v>0</v>
      </c>
      <c r="Z51" s="575">
        <f t="shared" si="21"/>
        <v>0</v>
      </c>
      <c r="AA51" s="575">
        <f t="shared" si="22"/>
        <v>0</v>
      </c>
      <c r="AB51" s="568">
        <f t="shared" si="23"/>
        <v>0</v>
      </c>
      <c r="AC51" s="417">
        <f>[4]CBA!AC51</f>
        <v>2451</v>
      </c>
      <c r="AD51" s="417">
        <f>[4]CBA!AD51</f>
        <v>6</v>
      </c>
      <c r="AE51" s="231">
        <f t="shared" si="2"/>
        <v>14706</v>
      </c>
      <c r="AF51" s="236">
        <f t="shared" si="3"/>
        <v>29461.02</v>
      </c>
      <c r="AG51" s="236">
        <f t="shared" si="4"/>
        <v>247501.97999999998</v>
      </c>
      <c r="AH51" s="239">
        <f t="shared" si="5"/>
        <v>276963</v>
      </c>
      <c r="AI51" s="240">
        <f t="shared" si="6"/>
        <v>0.05</v>
      </c>
      <c r="AJ51" s="241">
        <f t="shared" si="7"/>
        <v>122.55000000000001</v>
      </c>
      <c r="AK51" s="241">
        <f t="shared" si="8"/>
        <v>735.30000000000007</v>
      </c>
      <c r="AL51" s="239">
        <f t="shared" si="9"/>
        <v>13848.150000000001</v>
      </c>
      <c r="AM51" s="239">
        <f t="shared" si="10"/>
        <v>1473.0510000000002</v>
      </c>
      <c r="AN51" s="239">
        <f t="shared" si="11"/>
        <v>12375.099</v>
      </c>
      <c r="AO51" s="242">
        <f t="shared" si="12"/>
        <v>276963</v>
      </c>
      <c r="AP51" s="172">
        <f t="shared" si="0"/>
        <v>244349.8822742475</v>
      </c>
      <c r="AQ51" s="243">
        <f t="shared" si="13"/>
        <v>13848.150000000001</v>
      </c>
      <c r="AR51" s="243">
        <f t="shared" si="1"/>
        <v>-18764.967725752507</v>
      </c>
    </row>
    <row r="52" spans="1:44" ht="15" x14ac:dyDescent="0.25">
      <c r="A52" s="555"/>
      <c r="B52" s="555" t="s">
        <v>533</v>
      </c>
      <c r="C52" s="559"/>
      <c r="D52" s="559" t="s">
        <v>626</v>
      </c>
      <c r="E52" s="559"/>
      <c r="F52" s="559"/>
      <c r="G52" s="561">
        <v>43889</v>
      </c>
      <c r="H52" s="564">
        <v>10</v>
      </c>
      <c r="I52" s="559">
        <v>9</v>
      </c>
      <c r="J52" s="349"/>
      <c r="K52" s="571"/>
      <c r="L52" s="351"/>
      <c r="M52" s="417">
        <f>[4]CBA!M52</f>
        <v>46</v>
      </c>
      <c r="N52" s="417">
        <f>[4]CBA!N52</f>
        <v>14</v>
      </c>
      <c r="O52" s="417">
        <f>[4]CBA!O52</f>
        <v>92</v>
      </c>
      <c r="P52" s="417">
        <f>[4]CBA!P52</f>
        <v>184</v>
      </c>
      <c r="Q52" s="417">
        <f>[4]CBA!Q52</f>
        <v>46248</v>
      </c>
      <c r="R52" s="417">
        <f>[4]CBA!R52</f>
        <v>9464</v>
      </c>
      <c r="S52" s="575">
        <f t="shared" si="14"/>
        <v>552.91999999999996</v>
      </c>
      <c r="T52" s="575">
        <f t="shared" si="15"/>
        <v>1548.36</v>
      </c>
      <c r="U52" s="577">
        <f t="shared" si="16"/>
        <v>0.25454545454545452</v>
      </c>
      <c r="V52" s="364">
        <f t="shared" si="17"/>
        <v>127.27272727272727</v>
      </c>
      <c r="W52" s="575">
        <f t="shared" si="18"/>
        <v>11.709090909090907</v>
      </c>
      <c r="X52" s="575">
        <f t="shared" si="19"/>
        <v>46.836363636363629</v>
      </c>
      <c r="Y52" s="575">
        <f t="shared" si="20"/>
        <v>140.74327272727271</v>
      </c>
      <c r="Z52" s="575">
        <f t="shared" si="21"/>
        <v>788.25599999999974</v>
      </c>
      <c r="AA52" s="575">
        <f t="shared" si="22"/>
        <v>928.99927272727246</v>
      </c>
      <c r="AB52" s="568">
        <f t="shared" si="23"/>
        <v>58869.551999999996</v>
      </c>
      <c r="AC52" s="417">
        <f>[4]CBA!AC52</f>
        <v>4629</v>
      </c>
      <c r="AD52" s="417">
        <f>[4]CBA!AD52</f>
        <v>6</v>
      </c>
      <c r="AE52" s="231">
        <f t="shared" si="2"/>
        <v>27774</v>
      </c>
      <c r="AF52" s="236">
        <f t="shared" si="3"/>
        <v>55640.579999999994</v>
      </c>
      <c r="AG52" s="236">
        <f t="shared" si="4"/>
        <v>467436.41999999993</v>
      </c>
      <c r="AH52" s="239">
        <f t="shared" si="5"/>
        <v>523076.99999999994</v>
      </c>
      <c r="AI52" s="240">
        <f t="shared" si="6"/>
        <v>0.05</v>
      </c>
      <c r="AJ52" s="241">
        <f t="shared" si="7"/>
        <v>231.45000000000002</v>
      </c>
      <c r="AK52" s="241">
        <f t="shared" si="8"/>
        <v>1388.7</v>
      </c>
      <c r="AL52" s="239">
        <f t="shared" si="9"/>
        <v>26153.85</v>
      </c>
      <c r="AM52" s="239">
        <f t="shared" si="10"/>
        <v>2782.029</v>
      </c>
      <c r="AN52" s="239">
        <f t="shared" si="11"/>
        <v>23371.820999999996</v>
      </c>
      <c r="AO52" s="242">
        <f t="shared" si="12"/>
        <v>581946.55199999991</v>
      </c>
      <c r="AP52" s="172">
        <f t="shared" si="0"/>
        <v>565639.99313712365</v>
      </c>
      <c r="AQ52" s="243">
        <f t="shared" si="13"/>
        <v>85023.402000000002</v>
      </c>
      <c r="AR52" s="243">
        <f t="shared" si="1"/>
        <v>68716.843137123753</v>
      </c>
    </row>
    <row r="53" spans="1:44" ht="15" x14ac:dyDescent="0.25">
      <c r="A53" s="555"/>
      <c r="B53" s="555"/>
      <c r="C53" s="266"/>
      <c r="D53" s="559"/>
      <c r="E53" s="559"/>
      <c r="F53" s="559"/>
      <c r="G53" s="561"/>
      <c r="H53" s="564"/>
      <c r="I53" s="559"/>
      <c r="J53" s="567"/>
      <c r="K53" s="571"/>
      <c r="L53" s="351"/>
      <c r="M53" s="417"/>
      <c r="N53" s="266"/>
      <c r="O53" s="417"/>
      <c r="P53" s="417"/>
      <c r="Q53" s="417"/>
      <c r="R53" s="266"/>
      <c r="S53" s="575">
        <f t="shared" si="14"/>
        <v>0</v>
      </c>
      <c r="T53" s="575">
        <f t="shared" si="15"/>
        <v>0</v>
      </c>
      <c r="U53" s="577">
        <f t="shared" si="16"/>
        <v>0</v>
      </c>
      <c r="V53" s="364">
        <f t="shared" si="17"/>
        <v>0</v>
      </c>
      <c r="W53" s="575">
        <f t="shared" si="18"/>
        <v>0</v>
      </c>
      <c r="X53" s="575">
        <f t="shared" si="19"/>
        <v>0</v>
      </c>
      <c r="Y53" s="575">
        <f t="shared" si="20"/>
        <v>0</v>
      </c>
      <c r="Z53" s="575">
        <f t="shared" si="21"/>
        <v>0</v>
      </c>
      <c r="AA53" s="575">
        <f t="shared" si="22"/>
        <v>0</v>
      </c>
      <c r="AB53" s="568">
        <f t="shared" si="23"/>
        <v>0</v>
      </c>
      <c r="AC53" s="417"/>
      <c r="AD53" s="266"/>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0</v>
      </c>
      <c r="AP53" s="172">
        <f t="shared" si="0"/>
        <v>0</v>
      </c>
      <c r="AQ53" s="243">
        <f t="shared" si="13"/>
        <v>0</v>
      </c>
      <c r="AR53" s="243">
        <f t="shared" si="1"/>
        <v>0</v>
      </c>
    </row>
    <row r="54" spans="1:44" ht="15" x14ac:dyDescent="0.25">
      <c r="A54" s="555"/>
      <c r="B54" s="555"/>
      <c r="C54" s="266"/>
      <c r="D54" s="559"/>
      <c r="E54" s="559"/>
      <c r="F54" s="559"/>
      <c r="G54" s="561"/>
      <c r="H54" s="564"/>
      <c r="I54" s="559"/>
      <c r="J54" s="567"/>
      <c r="K54" s="571"/>
      <c r="L54" s="351"/>
      <c r="M54" s="417"/>
      <c r="N54" s="266"/>
      <c r="O54" s="417"/>
      <c r="P54" s="417"/>
      <c r="Q54" s="417"/>
      <c r="R54" s="266"/>
      <c r="S54" s="575">
        <f t="shared" si="14"/>
        <v>0</v>
      </c>
      <c r="T54" s="575">
        <f t="shared" si="15"/>
        <v>0</v>
      </c>
      <c r="U54" s="577">
        <f t="shared" si="16"/>
        <v>0</v>
      </c>
      <c r="V54" s="364">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55"/>
      <c r="B55" s="555"/>
      <c r="C55" s="559"/>
      <c r="D55" s="559"/>
      <c r="E55" s="559"/>
      <c r="F55" s="559"/>
      <c r="G55" s="561"/>
      <c r="H55" s="564"/>
      <c r="I55" s="275"/>
      <c r="J55" s="571"/>
      <c r="K55" s="571"/>
      <c r="L55" s="351"/>
      <c r="M55" s="417"/>
      <c r="N55" s="266"/>
      <c r="O55" s="417"/>
      <c r="P55" s="417"/>
      <c r="Q55" s="417"/>
      <c r="R55" s="266"/>
      <c r="S55" s="575">
        <f t="shared" si="14"/>
        <v>0</v>
      </c>
      <c r="T55" s="575">
        <f t="shared" si="15"/>
        <v>0</v>
      </c>
      <c r="U55" s="577">
        <f t="shared" si="16"/>
        <v>0</v>
      </c>
      <c r="V55" s="364">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557" t="s">
        <v>578</v>
      </c>
      <c r="B56" s="249" t="s">
        <v>533</v>
      </c>
      <c r="C56" s="558"/>
      <c r="D56" s="558" t="s">
        <v>627</v>
      </c>
      <c r="E56" s="558"/>
      <c r="F56" s="558"/>
      <c r="G56" s="563">
        <v>43903</v>
      </c>
      <c r="H56" s="566">
        <v>5</v>
      </c>
      <c r="I56" s="558">
        <v>5</v>
      </c>
      <c r="J56" s="382">
        <f>SUM(I56:I60)/(($K$8-$K$9)/$K$10)</f>
        <v>0.86086956521739122</v>
      </c>
      <c r="K56" s="570">
        <v>24840</v>
      </c>
      <c r="L56" s="384">
        <f>54674.41-K56</f>
        <v>29834.410000000003</v>
      </c>
      <c r="M56" s="422">
        <f>[4]CBA!M56</f>
        <v>306</v>
      </c>
      <c r="N56" s="422">
        <f>[4]CBA!N56</f>
        <v>5</v>
      </c>
      <c r="O56" s="422">
        <f>[4]CBA!O56</f>
        <v>306</v>
      </c>
      <c r="P56" s="422">
        <f>[4]CBA!P56</f>
        <v>612</v>
      </c>
      <c r="Q56" s="422">
        <f>[4]CBA!Q56</f>
        <v>77785.42857142858</v>
      </c>
      <c r="R56" s="422">
        <f>[4]CBA!R56</f>
        <v>5866</v>
      </c>
      <c r="S56" s="576">
        <f t="shared" si="14"/>
        <v>1839.06</v>
      </c>
      <c r="T56" s="576">
        <f t="shared" si="15"/>
        <v>5149.9799999999996</v>
      </c>
      <c r="U56" s="578">
        <f t="shared" si="16"/>
        <v>9.0909090909090912E-2</v>
      </c>
      <c r="V56" s="390">
        <f t="shared" si="17"/>
        <v>45.454545454545453</v>
      </c>
      <c r="W56" s="576">
        <f t="shared" si="18"/>
        <v>27.81818181818182</v>
      </c>
      <c r="X56" s="576">
        <f t="shared" si="19"/>
        <v>111.27272727272728</v>
      </c>
      <c r="Y56" s="576">
        <f t="shared" si="20"/>
        <v>334.37454545454545</v>
      </c>
      <c r="Z56" s="576">
        <f t="shared" si="21"/>
        <v>1872.72</v>
      </c>
      <c r="AA56" s="576">
        <f t="shared" si="22"/>
        <v>2207.0945454545454</v>
      </c>
      <c r="AB56" s="579">
        <f t="shared" si="23"/>
        <v>92893.017662337661</v>
      </c>
      <c r="AC56" s="422">
        <f>[4]CBA!AC56</f>
        <v>280</v>
      </c>
      <c r="AD56" s="422">
        <f>[4]CBA!AD56</f>
        <v>3</v>
      </c>
      <c r="AE56" s="231">
        <f t="shared" si="2"/>
        <v>840</v>
      </c>
      <c r="AF56" s="236">
        <f t="shared" si="3"/>
        <v>3365.6</v>
      </c>
      <c r="AG56" s="236">
        <f t="shared" si="4"/>
        <v>14137.199999999999</v>
      </c>
      <c r="AH56" s="239">
        <f t="shared" si="5"/>
        <v>17502.8</v>
      </c>
      <c r="AI56" s="240">
        <f t="shared" si="6"/>
        <v>0.05</v>
      </c>
      <c r="AJ56" s="241">
        <f t="shared" si="7"/>
        <v>14</v>
      </c>
      <c r="AK56" s="241">
        <f t="shared" si="8"/>
        <v>42</v>
      </c>
      <c r="AL56" s="239">
        <f t="shared" si="9"/>
        <v>875.14</v>
      </c>
      <c r="AM56" s="239">
        <f t="shared" si="10"/>
        <v>168.28</v>
      </c>
      <c r="AN56" s="239">
        <f t="shared" si="11"/>
        <v>706.86</v>
      </c>
      <c r="AO56" s="242">
        <f t="shared" si="12"/>
        <v>110395.81766233766</v>
      </c>
      <c r="AP56" s="172">
        <f t="shared" si="0"/>
        <v>102242.53823089953</v>
      </c>
      <c r="AQ56" s="243">
        <f t="shared" si="13"/>
        <v>93768.15766233766</v>
      </c>
      <c r="AR56" s="243">
        <f t="shared" si="1"/>
        <v>85614.878230899529</v>
      </c>
    </row>
    <row r="57" spans="1:44" ht="15" x14ac:dyDescent="0.25">
      <c r="A57" s="557"/>
      <c r="B57" s="249" t="s">
        <v>526</v>
      </c>
      <c r="C57" s="558"/>
      <c r="D57" s="558" t="s">
        <v>628</v>
      </c>
      <c r="E57" s="558" t="s">
        <v>486</v>
      </c>
      <c r="F57" s="558"/>
      <c r="G57" s="563">
        <v>43903</v>
      </c>
      <c r="H57" s="566">
        <v>7</v>
      </c>
      <c r="I57" s="558">
        <v>7</v>
      </c>
      <c r="J57" s="382"/>
      <c r="K57" s="570"/>
      <c r="L57" s="384"/>
      <c r="M57" s="422">
        <f>[4]CBA!M57</f>
        <v>0</v>
      </c>
      <c r="N57" s="422">
        <f>[4]CBA!N57</f>
        <v>10</v>
      </c>
      <c r="O57" s="422">
        <f>[4]CBA!O57</f>
        <v>0</v>
      </c>
      <c r="P57" s="422">
        <f>[4]CBA!P57</f>
        <v>0</v>
      </c>
      <c r="Q57" s="422">
        <f>[4]CBA!Q57</f>
        <v>0</v>
      </c>
      <c r="R57" s="422">
        <f>[4]CBA!R57</f>
        <v>0</v>
      </c>
      <c r="S57" s="576">
        <f t="shared" si="14"/>
        <v>0</v>
      </c>
      <c r="T57" s="576">
        <f t="shared" si="15"/>
        <v>0</v>
      </c>
      <c r="U57" s="578">
        <f t="shared" si="16"/>
        <v>0.18181818181818182</v>
      </c>
      <c r="V57" s="390">
        <f t="shared" si="17"/>
        <v>0</v>
      </c>
      <c r="W57" s="576">
        <f t="shared" si="18"/>
        <v>0</v>
      </c>
      <c r="X57" s="576">
        <f t="shared" si="19"/>
        <v>0</v>
      </c>
      <c r="Y57" s="576">
        <f t="shared" si="20"/>
        <v>0</v>
      </c>
      <c r="Z57" s="576">
        <f t="shared" si="21"/>
        <v>0</v>
      </c>
      <c r="AA57" s="576">
        <f t="shared" si="22"/>
        <v>0</v>
      </c>
      <c r="AB57" s="579">
        <f t="shared" si="23"/>
        <v>0</v>
      </c>
      <c r="AC57" s="422">
        <f>[4]CBA!AC57</f>
        <v>0</v>
      </c>
      <c r="AD57" s="422">
        <f>[4]CBA!AD57</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-11414.591204013377</v>
      </c>
      <c r="AQ57" s="243">
        <f t="shared" si="13"/>
        <v>0</v>
      </c>
      <c r="AR57" s="243">
        <f t="shared" si="1"/>
        <v>-11414.591204013377</v>
      </c>
    </row>
    <row r="58" spans="1:44" ht="15" x14ac:dyDescent="0.25">
      <c r="A58" s="557"/>
      <c r="B58" s="558" t="s">
        <v>526</v>
      </c>
      <c r="C58" s="558"/>
      <c r="D58" s="558" t="s">
        <v>629</v>
      </c>
      <c r="E58" s="558" t="s">
        <v>486</v>
      </c>
      <c r="F58" s="558"/>
      <c r="G58" s="260">
        <v>43914</v>
      </c>
      <c r="H58" s="252">
        <v>4</v>
      </c>
      <c r="I58" s="558">
        <v>4</v>
      </c>
      <c r="J58" s="569"/>
      <c r="K58" s="570"/>
      <c r="L58" s="384"/>
      <c r="M58" s="422">
        <f>[4]CBA!M58</f>
        <v>0</v>
      </c>
      <c r="N58" s="422">
        <f>[4]CBA!N58</f>
        <v>5</v>
      </c>
      <c r="O58" s="422">
        <f>[4]CBA!O58</f>
        <v>0</v>
      </c>
      <c r="P58" s="422">
        <f>[4]CBA!P58</f>
        <v>0</v>
      </c>
      <c r="Q58" s="422">
        <f>[4]CBA!Q58</f>
        <v>0</v>
      </c>
      <c r="R58" s="422">
        <f>[4]CBA!R58</f>
        <v>0</v>
      </c>
      <c r="S58" s="576">
        <f t="shared" si="14"/>
        <v>0</v>
      </c>
      <c r="T58" s="576">
        <f t="shared" si="15"/>
        <v>0</v>
      </c>
      <c r="U58" s="578">
        <f t="shared" si="16"/>
        <v>9.0909090909090912E-2</v>
      </c>
      <c r="V58" s="390">
        <f t="shared" si="17"/>
        <v>0</v>
      </c>
      <c r="W58" s="576">
        <f t="shared" si="18"/>
        <v>0</v>
      </c>
      <c r="X58" s="576">
        <f t="shared" si="19"/>
        <v>0</v>
      </c>
      <c r="Y58" s="576">
        <f t="shared" si="20"/>
        <v>0</v>
      </c>
      <c r="Z58" s="576">
        <f t="shared" si="21"/>
        <v>0</v>
      </c>
      <c r="AA58" s="576">
        <f t="shared" si="22"/>
        <v>0</v>
      </c>
      <c r="AB58" s="579">
        <f t="shared" si="23"/>
        <v>0</v>
      </c>
      <c r="AC58" s="422">
        <f>[4]CBA!AC58</f>
        <v>2500</v>
      </c>
      <c r="AD58" s="422">
        <f>[4]CBA!AD58</f>
        <v>4</v>
      </c>
      <c r="AE58" s="231">
        <f t="shared" si="2"/>
        <v>10000</v>
      </c>
      <c r="AF58" s="236">
        <f t="shared" si="3"/>
        <v>30050</v>
      </c>
      <c r="AG58" s="236">
        <f t="shared" si="4"/>
        <v>168299.99999999997</v>
      </c>
      <c r="AH58" s="239">
        <f t="shared" si="5"/>
        <v>198349.99999999997</v>
      </c>
      <c r="AI58" s="240">
        <f t="shared" si="6"/>
        <v>0.05</v>
      </c>
      <c r="AJ58" s="241">
        <f t="shared" si="7"/>
        <v>125</v>
      </c>
      <c r="AK58" s="241">
        <f t="shared" si="8"/>
        <v>500</v>
      </c>
      <c r="AL58" s="239">
        <f t="shared" si="9"/>
        <v>9917.5</v>
      </c>
      <c r="AM58" s="239">
        <f t="shared" si="10"/>
        <v>1502.5</v>
      </c>
      <c r="AN58" s="239">
        <f t="shared" si="11"/>
        <v>8414.9999999999982</v>
      </c>
      <c r="AO58" s="242">
        <f t="shared" si="12"/>
        <v>198349.99999999997</v>
      </c>
      <c r="AP58" s="172">
        <f t="shared" si="0"/>
        <v>191827.37645484947</v>
      </c>
      <c r="AQ58" s="243">
        <f t="shared" si="13"/>
        <v>9917.5</v>
      </c>
      <c r="AR58" s="243">
        <f t="shared" si="1"/>
        <v>3394.8764548494983</v>
      </c>
    </row>
    <row r="59" spans="1:44" ht="15" x14ac:dyDescent="0.25">
      <c r="A59" s="557"/>
      <c r="B59" s="558" t="s">
        <v>526</v>
      </c>
      <c r="C59" s="558"/>
      <c r="D59" s="558" t="s">
        <v>630</v>
      </c>
      <c r="E59" s="558" t="s">
        <v>560</v>
      </c>
      <c r="F59" s="558"/>
      <c r="G59" s="260">
        <v>43924</v>
      </c>
      <c r="H59" s="252">
        <v>5</v>
      </c>
      <c r="I59" s="558">
        <v>5</v>
      </c>
      <c r="J59" s="569"/>
      <c r="K59" s="570"/>
      <c r="L59" s="384"/>
      <c r="M59" s="422">
        <f>[4]CBA!M59</f>
        <v>0</v>
      </c>
      <c r="N59" s="422">
        <f>[4]CBA!N59</f>
        <v>10</v>
      </c>
      <c r="O59" s="422">
        <f>[4]CBA!O59</f>
        <v>0</v>
      </c>
      <c r="P59" s="422">
        <f>[4]CBA!P59</f>
        <v>0</v>
      </c>
      <c r="Q59" s="422">
        <f>[4]CBA!Q59</f>
        <v>0</v>
      </c>
      <c r="R59" s="422">
        <f>[4]CBA!R59</f>
        <v>0</v>
      </c>
      <c r="S59" s="576"/>
      <c r="T59" s="576"/>
      <c r="U59" s="578"/>
      <c r="V59" s="390"/>
      <c r="W59" s="576"/>
      <c r="X59" s="576"/>
      <c r="Y59" s="576"/>
      <c r="Z59" s="576"/>
      <c r="AA59" s="576"/>
      <c r="AB59" s="579"/>
      <c r="AC59" s="422">
        <f>[4]CBA!AC59</f>
        <v>4000</v>
      </c>
      <c r="AD59" s="422">
        <f>[4]CBA!AD59</f>
        <v>3</v>
      </c>
      <c r="AE59" s="231">
        <f t="shared" ref="AE59:AE60" si="24">AC59*AD59</f>
        <v>12000</v>
      </c>
      <c r="AF59" s="236">
        <f t="shared" ref="AF59:AF60" si="25">AC59*$AF$3</f>
        <v>48080</v>
      </c>
      <c r="AG59" s="236">
        <f t="shared" ref="AG59:AG60" si="26">AE59*$AF$4</f>
        <v>201959.99999999997</v>
      </c>
      <c r="AH59" s="239">
        <f t="shared" ref="AH59:AH60" si="27">(AF59+AG59)</f>
        <v>250039.99999999997</v>
      </c>
      <c r="AI59" s="240">
        <f t="shared" si="6"/>
        <v>0.05</v>
      </c>
      <c r="AJ59" s="241">
        <f t="shared" ref="AJ59:AJ60" si="28">AC59*AI59</f>
        <v>200</v>
      </c>
      <c r="AK59" s="241">
        <f t="shared" ref="AK59:AK60" si="29">AE59*AI59</f>
        <v>600</v>
      </c>
      <c r="AL59" s="239">
        <f t="shared" ref="AL59:AL60" si="30">AH59*AI59</f>
        <v>12502</v>
      </c>
      <c r="AM59" s="239">
        <f t="shared" ref="AM59:AM60" si="31">AF59*AI59</f>
        <v>2404</v>
      </c>
      <c r="AN59" s="239">
        <f t="shared" ref="AN59:AN60" si="32">AG59*AI59</f>
        <v>10098</v>
      </c>
      <c r="AO59" s="242">
        <f t="shared" ref="AO59:AO60" si="33">AB59+AH59</f>
        <v>250039.99999999997</v>
      </c>
      <c r="AP59" s="172">
        <f t="shared" ref="AP59:AP60" si="34">AO59-($K$68*H59)</f>
        <v>241886.72056856184</v>
      </c>
      <c r="AQ59" s="243">
        <f t="shared" ref="AQ59:AQ60" si="35">AB59+AL59</f>
        <v>12502</v>
      </c>
      <c r="AR59" s="243">
        <f t="shared" ref="AR59:AR60" si="36">AQ59-($K$68*H59)</f>
        <v>4348.7205685618728</v>
      </c>
    </row>
    <row r="60" spans="1:44" ht="15" x14ac:dyDescent="0.25">
      <c r="A60" s="557"/>
      <c r="B60" s="558" t="s">
        <v>533</v>
      </c>
      <c r="C60" s="558"/>
      <c r="D60" s="558" t="s">
        <v>591</v>
      </c>
      <c r="E60" s="558" t="s">
        <v>387</v>
      </c>
      <c r="F60" s="558"/>
      <c r="G60" s="563">
        <v>43924</v>
      </c>
      <c r="H60" s="566">
        <v>12</v>
      </c>
      <c r="I60" s="558">
        <v>12</v>
      </c>
      <c r="J60" s="570"/>
      <c r="K60" s="570"/>
      <c r="L60" s="384"/>
      <c r="M60" s="422">
        <f>[4]CBA!M60</f>
        <v>12</v>
      </c>
      <c r="N60" s="422">
        <f>[4]CBA!N60</f>
        <v>10</v>
      </c>
      <c r="O60" s="422">
        <f>[4]CBA!O60</f>
        <v>24</v>
      </c>
      <c r="P60" s="422">
        <f>[4]CBA!P60</f>
        <v>144</v>
      </c>
      <c r="Q60" s="422">
        <f>[4]CBA!Q60</f>
        <v>38304</v>
      </c>
      <c r="R60" s="422">
        <f>[4]CBA!R60</f>
        <v>7208</v>
      </c>
      <c r="S60" s="576"/>
      <c r="T60" s="576"/>
      <c r="U60" s="578"/>
      <c r="V60" s="390"/>
      <c r="W60" s="576"/>
      <c r="X60" s="576"/>
      <c r="Y60" s="576"/>
      <c r="Z60" s="576"/>
      <c r="AA60" s="576"/>
      <c r="AB60" s="579"/>
      <c r="AC60" s="422">
        <f>[4]CBA!AC60</f>
        <v>1250</v>
      </c>
      <c r="AD60" s="422">
        <f>[4]CBA!AD60</f>
        <v>8</v>
      </c>
      <c r="AE60" s="231">
        <f t="shared" si="24"/>
        <v>10000</v>
      </c>
      <c r="AF60" s="236">
        <f t="shared" si="25"/>
        <v>15025</v>
      </c>
      <c r="AG60" s="236">
        <f t="shared" si="26"/>
        <v>168299.99999999997</v>
      </c>
      <c r="AH60" s="239">
        <f t="shared" si="27"/>
        <v>183324.99999999997</v>
      </c>
      <c r="AI60" s="240">
        <f t="shared" si="6"/>
        <v>0.05</v>
      </c>
      <c r="AJ60" s="241">
        <f t="shared" si="28"/>
        <v>62.5</v>
      </c>
      <c r="AK60" s="241">
        <f t="shared" si="29"/>
        <v>500</v>
      </c>
      <c r="AL60" s="239">
        <f t="shared" si="30"/>
        <v>9166.2499999999982</v>
      </c>
      <c r="AM60" s="239">
        <f t="shared" si="31"/>
        <v>751.25</v>
      </c>
      <c r="AN60" s="239">
        <f t="shared" si="32"/>
        <v>8414.9999999999982</v>
      </c>
      <c r="AO60" s="242">
        <f t="shared" si="33"/>
        <v>183324.99999999997</v>
      </c>
      <c r="AP60" s="172">
        <f t="shared" si="34"/>
        <v>163757.12936454845</v>
      </c>
      <c r="AQ60" s="243">
        <f t="shared" si="35"/>
        <v>9166.2499999999982</v>
      </c>
      <c r="AR60" s="243">
        <f t="shared" si="36"/>
        <v>-10401.620635451507</v>
      </c>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SUM(H14:H62)</f>
        <v>316</v>
      </c>
      <c r="I63" s="442">
        <f>SUM(I14:I62)</f>
        <v>299</v>
      </c>
      <c r="J63" s="443">
        <f>AVERAGEIF(J15:J62,"&lt;&gt;0")</f>
        <v>0.67114624505928855</v>
      </c>
      <c r="K63" s="444">
        <f>SUM(K14:K62)</f>
        <v>223560</v>
      </c>
      <c r="L63" s="444">
        <f>SUM(L14:L62)</f>
        <v>264006.11</v>
      </c>
      <c r="M63" s="143"/>
      <c r="N63" s="581">
        <f>SUM(N14:N62)</f>
        <v>191</v>
      </c>
      <c r="O63" s="143">
        <f t="shared" ref="O63:T63" si="37">SUM(O14:O62)</f>
        <v>4082</v>
      </c>
      <c r="P63" s="581">
        <f>SUM(P14:P62)</f>
        <v>14092</v>
      </c>
      <c r="Q63" s="445">
        <f t="shared" si="37"/>
        <v>1052456.9275697479</v>
      </c>
      <c r="R63" s="445">
        <f t="shared" si="37"/>
        <v>170062</v>
      </c>
      <c r="S63" s="445">
        <f t="shared" si="37"/>
        <v>24388.579999999998</v>
      </c>
      <c r="T63" s="445">
        <f t="shared" si="37"/>
        <v>117372.42</v>
      </c>
      <c r="U63" s="445"/>
      <c r="V63" s="445">
        <f t="shared" ref="V63:AB63" si="38">SUM(V14:V62)</f>
        <v>1281.8181818181818</v>
      </c>
      <c r="W63" s="445">
        <f t="shared" si="38"/>
        <v>462.61818181818182</v>
      </c>
      <c r="X63" s="445">
        <f t="shared" si="38"/>
        <v>1850.4727272727273</v>
      </c>
      <c r="Y63" s="445">
        <f t="shared" si="38"/>
        <v>5560.6705454545445</v>
      </c>
      <c r="Z63" s="445">
        <f t="shared" si="38"/>
        <v>31143.455999999998</v>
      </c>
      <c r="AA63" s="445">
        <f t="shared" si="38"/>
        <v>36704.126545454543</v>
      </c>
      <c r="AB63" s="446">
        <f t="shared" si="38"/>
        <v>1356753.8722970206</v>
      </c>
      <c r="AC63" s="533"/>
      <c r="AD63" s="533"/>
      <c r="AE63" s="533"/>
      <c r="AF63" s="534"/>
      <c r="AG63" s="534"/>
      <c r="AH63" s="535">
        <f>SUM(AH14:AH62)</f>
        <v>3307199.92</v>
      </c>
      <c r="AI63" s="582">
        <f>SUM(AI14:AI62)</f>
        <v>2.3499999999999996</v>
      </c>
      <c r="AJ63" s="534">
        <f t="shared" ref="AJ63:AQ63" si="39">SUM(AJ14:AJ62)</f>
        <v>1545.1</v>
      </c>
      <c r="AK63" s="534">
        <f t="shared" si="39"/>
        <v>8721.7999999999993</v>
      </c>
      <c r="AL63" s="535">
        <f t="shared" si="39"/>
        <v>165359.99600000001</v>
      </c>
      <c r="AM63" s="535">
        <f t="shared" si="39"/>
        <v>18572.101999999999</v>
      </c>
      <c r="AN63" s="535">
        <f t="shared" si="39"/>
        <v>146787.894</v>
      </c>
      <c r="AO63" s="451">
        <f t="shared" si="39"/>
        <v>4663953.7922970206</v>
      </c>
      <c r="AP63" s="452">
        <f t="shared" si="39"/>
        <v>4148666.5322301309</v>
      </c>
      <c r="AQ63" s="537">
        <f t="shared" si="39"/>
        <v>1522113.8682970202</v>
      </c>
      <c r="AR63" s="537">
        <f>SUM(AR14:AR62)</f>
        <v>1006826.608230131</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299</v>
      </c>
      <c r="L66" s="529"/>
      <c r="O66" s="541" t="s">
        <v>417</v>
      </c>
      <c r="P66" s="541"/>
      <c r="Q66" s="541"/>
      <c r="R66" s="542">
        <f>Q63+R63+V63+AA63</f>
        <v>1260504.8722970206</v>
      </c>
      <c r="AF66" s="533" t="s">
        <v>418</v>
      </c>
      <c r="AG66" s="533"/>
      <c r="AH66" s="535">
        <f>AH63</f>
        <v>3307199.92</v>
      </c>
      <c r="AI66" s="535"/>
      <c r="AJ66" s="535"/>
      <c r="AK66" s="535"/>
      <c r="AL66" s="535">
        <f>SUM(AL14:AL62)</f>
        <v>165359.99600000001</v>
      </c>
      <c r="AM66" s="535"/>
      <c r="AN66" s="535"/>
      <c r="AO66" s="482"/>
      <c r="AP66" s="483"/>
    </row>
    <row r="67" spans="3:42" ht="15" x14ac:dyDescent="0.25">
      <c r="F67" s="483"/>
      <c r="G67" s="539" t="s">
        <v>516</v>
      </c>
      <c r="H67" s="540"/>
      <c r="I67" s="539"/>
      <c r="J67" s="539"/>
      <c r="K67" s="444">
        <f>K63+L63</f>
        <v>487566.11</v>
      </c>
      <c r="L67" s="482"/>
      <c r="O67" s="541" t="s">
        <v>420</v>
      </c>
      <c r="P67" s="541"/>
      <c r="Q67" s="541"/>
      <c r="R67" s="188">
        <f>R66/N63</f>
        <v>6599.5019491990606</v>
      </c>
      <c r="AB67" s="528"/>
      <c r="AF67" s="533" t="s">
        <v>421</v>
      </c>
      <c r="AG67" s="533"/>
      <c r="AH67" s="189">
        <f>AH66/I63</f>
        <v>11060.869297658863</v>
      </c>
      <c r="AI67" s="535"/>
      <c r="AJ67" s="535"/>
      <c r="AK67" s="535"/>
      <c r="AL67" s="189">
        <f>AL66/I63</f>
        <v>553.04346488294323</v>
      </c>
      <c r="AM67" s="189"/>
      <c r="AN67" s="189"/>
      <c r="AO67" s="482"/>
      <c r="AP67" s="483"/>
    </row>
    <row r="68" spans="3:42" ht="15" x14ac:dyDescent="0.25">
      <c r="F68" s="483"/>
      <c r="G68" s="539" t="s">
        <v>517</v>
      </c>
      <c r="H68" s="540"/>
      <c r="I68" s="539"/>
      <c r="J68" s="539"/>
      <c r="K68" s="444">
        <f>K67/K66</f>
        <v>1630.6558862876254</v>
      </c>
      <c r="L68" s="316"/>
      <c r="AH68" s="481"/>
      <c r="AI68" s="481"/>
      <c r="AJ68" s="481"/>
      <c r="AK68" s="481"/>
      <c r="AL68" s="482"/>
      <c r="AM68" s="482"/>
      <c r="AN68" s="482"/>
      <c r="AO68" s="482"/>
      <c r="AP68" s="483"/>
    </row>
    <row r="69" spans="3:42" x14ac:dyDescent="0.2">
      <c r="L69" s="479"/>
      <c r="O69" s="541" t="s">
        <v>423</v>
      </c>
      <c r="P69" s="541"/>
      <c r="Q69" s="541"/>
      <c r="R69" s="542">
        <f>S63+T63+AA63</f>
        <v>178465.12654545455</v>
      </c>
      <c r="U69" s="543"/>
      <c r="V69" s="544"/>
      <c r="W69" s="544"/>
      <c r="AH69" s="481"/>
      <c r="AI69" s="481"/>
      <c r="AJ69" s="481"/>
      <c r="AK69" s="481"/>
      <c r="AL69" s="482"/>
      <c r="AM69" s="482"/>
      <c r="AN69" s="482"/>
      <c r="AO69" s="482"/>
      <c r="AP69" s="483"/>
    </row>
    <row r="70" spans="3:42" ht="15" x14ac:dyDescent="0.25">
      <c r="G70" s="539" t="s">
        <v>518</v>
      </c>
      <c r="H70" s="540"/>
      <c r="I70" s="539"/>
      <c r="J70" s="539"/>
      <c r="K70" s="442">
        <v>460</v>
      </c>
      <c r="L70" s="479"/>
      <c r="O70" s="541" t="s">
        <v>421</v>
      </c>
      <c r="P70" s="541"/>
      <c r="Q70" s="541"/>
      <c r="R70" s="188">
        <f>R69/N63</f>
        <v>934.37239029033799</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0.67114624505928855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thickBot="1" x14ac:dyDescent="0.25">
      <c r="X73" s="483"/>
      <c r="Y73" s="483"/>
      <c r="Z73" s="483"/>
      <c r="AA73" s="545"/>
      <c r="AF73" s="483"/>
      <c r="AG73" s="483"/>
      <c r="AH73" s="482"/>
    </row>
    <row r="74" spans="3:42" ht="15" x14ac:dyDescent="0.25">
      <c r="C74" s="202" t="s">
        <v>583</v>
      </c>
      <c r="D74" s="203"/>
      <c r="E74" s="583">
        <v>395314.18378487392</v>
      </c>
      <c r="F74" t="s">
        <v>634</v>
      </c>
      <c r="X74" s="483"/>
      <c r="Y74" s="483"/>
      <c r="Z74" s="483"/>
      <c r="AA74" s="545"/>
      <c r="AF74" s="483"/>
      <c r="AG74" s="483"/>
      <c r="AH74" s="482"/>
    </row>
    <row r="75" spans="3:42" ht="15" x14ac:dyDescent="0.25">
      <c r="C75" s="204" t="s">
        <v>444</v>
      </c>
      <c r="D75" s="129"/>
      <c r="E75" s="584">
        <v>2.6761400000000002</v>
      </c>
      <c r="F75"/>
      <c r="X75" s="483"/>
      <c r="Y75" s="483"/>
      <c r="Z75" s="483"/>
      <c r="AA75" s="483"/>
    </row>
    <row r="76" spans="3:42" ht="15" x14ac:dyDescent="0.25">
      <c r="C76" s="204" t="s">
        <v>611</v>
      </c>
      <c r="D76" s="129"/>
      <c r="E76" s="585">
        <f>E74*E75</f>
        <v>1057916.0997940525</v>
      </c>
      <c r="F76"/>
      <c r="X76" s="483"/>
      <c r="Y76" s="483"/>
      <c r="Z76" s="483"/>
      <c r="AA76" s="547"/>
    </row>
    <row r="77" spans="3:42" ht="15.75" thickBot="1" x14ac:dyDescent="0.3">
      <c r="C77" s="206" t="s">
        <v>612</v>
      </c>
      <c r="D77" s="207"/>
      <c r="E77" s="586">
        <f>E76/1000</f>
        <v>1057.9160997940526</v>
      </c>
      <c r="F77" s="646"/>
      <c r="U77" s="549"/>
      <c r="X77" s="483"/>
      <c r="Y77" s="483"/>
      <c r="Z77" s="483"/>
      <c r="AA77" s="482"/>
    </row>
    <row r="78" spans="3:42" ht="15" x14ac:dyDescent="0.25">
      <c r="C78"/>
      <c r="D78"/>
      <c r="E78"/>
      <c r="F78"/>
      <c r="X78" s="483"/>
      <c r="Y78" s="483"/>
      <c r="Z78" s="483"/>
      <c r="AA78" s="482"/>
    </row>
    <row r="79" spans="3:42" ht="15" x14ac:dyDescent="0.25">
      <c r="C79"/>
      <c r="D79"/>
      <c r="E79"/>
      <c r="F79"/>
      <c r="X79" s="483"/>
      <c r="Y79" s="483"/>
      <c r="Z79" s="483"/>
      <c r="AA79" s="466"/>
    </row>
    <row r="80" spans="3:42" ht="15" x14ac:dyDescent="0.25">
      <c r="C80"/>
      <c r="D80"/>
      <c r="E80"/>
      <c r="F80"/>
    </row>
    <row r="81" spans="3:7" ht="15" x14ac:dyDescent="0.25">
      <c r="C81"/>
      <c r="D81"/>
      <c r="E81"/>
      <c r="F81"/>
    </row>
    <row r="82" spans="3:7" ht="15" x14ac:dyDescent="0.25">
      <c r="C82"/>
      <c r="D82"/>
      <c r="E82"/>
      <c r="F82"/>
    </row>
    <row r="83" spans="3:7" ht="15" x14ac:dyDescent="0.25">
      <c r="C83"/>
      <c r="D83"/>
      <c r="E83"/>
      <c r="F83" t="s">
        <v>446</v>
      </c>
    </row>
    <row r="84" spans="3:7" ht="15" x14ac:dyDescent="0.25">
      <c r="C84" t="s">
        <v>441</v>
      </c>
      <c r="D84"/>
      <c r="E84" s="201">
        <f>Q63+R63+V63</f>
        <v>1223800.745751566</v>
      </c>
      <c r="F84" s="201">
        <f>E84/1000000</f>
        <v>1.2238007457515661</v>
      </c>
      <c r="G84" s="550"/>
    </row>
    <row r="85" spans="3:7" ht="15.75" x14ac:dyDescent="0.3">
      <c r="C85" s="9" t="s">
        <v>295</v>
      </c>
      <c r="D85"/>
      <c r="E85" s="201">
        <f>S63+Y63+AM63</f>
        <v>48521.352545454545</v>
      </c>
      <c r="F85" s="201">
        <f>E85/1000000</f>
        <v>4.8521352545454546E-2</v>
      </c>
      <c r="G85" s="550"/>
    </row>
    <row r="86" spans="3:7" ht="15.75" x14ac:dyDescent="0.3">
      <c r="C86" s="9" t="s">
        <v>296</v>
      </c>
      <c r="D86"/>
      <c r="E86" s="201">
        <f>T63+Z63+AN63</f>
        <v>295303.77</v>
      </c>
      <c r="F86" s="201">
        <f>E86/1000000</f>
        <v>0.29530377000000002</v>
      </c>
      <c r="G86" s="550"/>
    </row>
    <row r="87" spans="3:7" ht="15.75" x14ac:dyDescent="0.3">
      <c r="C87" s="4" t="s">
        <v>211</v>
      </c>
      <c r="D87"/>
      <c r="E87" s="552">
        <f>O63+W63+AJ63</f>
        <v>6089.7181818181816</v>
      </c>
      <c r="F87" s="168">
        <f>E87</f>
        <v>6089.7181818181816</v>
      </c>
      <c r="G87" s="528"/>
    </row>
    <row r="88" spans="3:7" ht="15.75" x14ac:dyDescent="0.3">
      <c r="C88" s="4" t="s">
        <v>212</v>
      </c>
      <c r="D88"/>
      <c r="E88" s="552">
        <f>P63+X63+AK63</f>
        <v>24664.272727272728</v>
      </c>
      <c r="F88" s="168">
        <f>E88*60</f>
        <v>1479856.3636363638</v>
      </c>
      <c r="G88" s="528"/>
    </row>
    <row r="89" spans="3:7" ht="16.5" x14ac:dyDescent="0.3">
      <c r="C89" s="4" t="s">
        <v>325</v>
      </c>
      <c r="D89"/>
      <c r="E89" s="167">
        <f>E77</f>
        <v>1057.9160997940526</v>
      </c>
      <c r="F89" s="167">
        <f>E89</f>
        <v>1057.9160997940526</v>
      </c>
      <c r="G89" s="551"/>
    </row>
    <row r="91" spans="3:7" x14ac:dyDescent="0.2">
      <c r="D91" s="588" t="s">
        <v>632</v>
      </c>
      <c r="E91" s="589">
        <f>SUM(E84:E86)</f>
        <v>1567625.8682970207</v>
      </c>
      <c r="F91" s="177"/>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63AA90E-EEBF-4BEA-99A4-759433AEB496}">
          <x14:formula1>
            <xm:f>'Z:\E - NIA Programme\01. Archive\Reports IFI LCNF &amp; NIA\Regulatory Reports\2018_19\E6\Live Line Harvester\[LLH Tracker 2018.19.xlsx]Ready Reckoner &amp; Data'!#REF!</xm:f>
          </x14:formula1>
          <xm:sqref>B14:B58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metadata/properties"/>
    <ds:schemaRef ds:uri="efb98dbe-6680-48eb-ac67-85b3a61e7855"/>
    <ds:schemaRef ds:uri="http://purl.org/dc/terms/"/>
    <ds:schemaRef ds:uri="http://schemas.microsoft.com/sharepoint/v3/fields"/>
    <ds:schemaRef ds:uri="http://schemas.microsoft.com/office/2006/documentManagement/types"/>
    <ds:schemaRef ds:uri="eecedeb9-13b3-4e62-b003-046c92e1668a"/>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version control</vt:lpstr>
      <vt:lpstr>Guidance</vt:lpstr>
      <vt:lpstr>Option summary</vt:lpstr>
      <vt:lpstr>Fixed data</vt:lpstr>
      <vt:lpstr>Workings baseline 2015.16</vt:lpstr>
      <vt:lpstr>Workings baseline 2016.17</vt:lpstr>
      <vt:lpstr>Workings baseline 2017.18</vt:lpstr>
      <vt:lpstr>Working baseline 2018.19</vt:lpstr>
      <vt:lpstr>Working baseline 2019.20</vt:lpstr>
      <vt:lpstr>Option 1 (Baseline)</vt:lpstr>
      <vt:lpstr>Option 2</vt:lpstr>
      <vt:lpstr>Workings template 2015.16</vt:lpstr>
      <vt:lpstr>Workings template 2016.17</vt:lpstr>
      <vt:lpstr>Workings template 2017.18</vt:lpstr>
      <vt:lpstr>Working template 2018.19</vt:lpstr>
      <vt:lpstr>Working template 2019.20</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2020-07-22T14:47:08Z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