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Z:\E - NIA Programme\01. Archive\01. Non Project\Reports IFI LCNF &amp; NIA\Regulatory Reports\2020_21\E6\Bidoyng\"/>
    </mc:Choice>
  </mc:AlternateContent>
  <xr:revisionPtr revIDLastSave="0" documentId="13_ncr:1_{4CD8EE05-FC6B-4DD5-822E-959ECB905CC2}" xr6:coauthVersionLast="41" xr6:coauthVersionMax="41" xr10:uidLastSave="{00000000-0000-0000-0000-000000000000}"/>
  <bookViews>
    <workbookView xWindow="-120" yWindow="-120" windowWidth="25440" windowHeight="15390" tabRatio="779" activeTab="4" xr2:uid="{00000000-000D-0000-FFFF-FFFF00000000}"/>
  </bookViews>
  <sheets>
    <sheet name="version control" sheetId="30" r:id="rId1"/>
    <sheet name="Guidance" sheetId="28" r:id="rId2"/>
    <sheet name="Option summary" sheetId="29" r:id="rId3"/>
    <sheet name="Fixed data" sheetId="20" r:id="rId4"/>
    <sheet name="Baseline Workings" sheetId="27" r:id="rId5"/>
    <sheet name="Option 1 (Baseline)" sheetId="33" r:id="rId6"/>
    <sheet name="Option 2" sheetId="34" r:id="rId7"/>
    <sheet name="Option 2 Workings" sheetId="32" r:id="rId8"/>
  </sheets>
  <definedNames>
    <definedName name="_xlnm.Print_Area" localSheetId="5">'Option 1 (Baseline)'!$A$1:$AB$104</definedName>
    <definedName name="_xlnm.Print_Area" localSheetId="6">'Option 2'!$A$1:$AB$104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5" i="27" l="1"/>
  <c r="H27" i="27"/>
  <c r="H20" i="27"/>
  <c r="H14" i="27"/>
  <c r="H13" i="27"/>
  <c r="I8" i="32" l="1"/>
  <c r="J88" i="33" l="1"/>
  <c r="J13" i="33"/>
  <c r="I10" i="32"/>
  <c r="J13" i="34" s="1"/>
  <c r="H39" i="27"/>
  <c r="H38" i="27"/>
  <c r="H37" i="27"/>
  <c r="H40" i="27" s="1"/>
  <c r="H36" i="27"/>
  <c r="H35" i="27"/>
  <c r="J89" i="33" s="1"/>
  <c r="H34" i="27"/>
  <c r="H30" i="27"/>
  <c r="H28" i="27"/>
  <c r="H26" i="27"/>
  <c r="H24" i="27"/>
  <c r="I12" i="32" l="1"/>
  <c r="H15" i="27"/>
  <c r="G28" i="27"/>
  <c r="G20" i="27"/>
  <c r="H10" i="32" l="1"/>
  <c r="I13" i="34" s="1"/>
  <c r="H8" i="32"/>
  <c r="G39" i="27"/>
  <c r="G38" i="27"/>
  <c r="I13" i="33" s="1"/>
  <c r="G35" i="27"/>
  <c r="I89" i="33" s="1"/>
  <c r="G34" i="27"/>
  <c r="I88" i="33" s="1"/>
  <c r="G29" i="27" l="1"/>
  <c r="G27" i="27" l="1"/>
  <c r="G25" i="27"/>
  <c r="G30" i="27" s="1"/>
  <c r="G14" i="27"/>
  <c r="G37" i="27" s="1"/>
  <c r="I68" i="33" s="1"/>
  <c r="G13" i="27"/>
  <c r="G36" i="27" l="1"/>
  <c r="I67" i="33" s="1"/>
  <c r="G15" i="27"/>
  <c r="G9" i="32"/>
  <c r="G8" i="32"/>
  <c r="G10" i="32" s="1"/>
  <c r="G40" i="27" l="1"/>
  <c r="H13" i="34"/>
  <c r="F28" i="27"/>
  <c r="F38" i="27" s="1"/>
  <c r="H13" i="33" s="1"/>
  <c r="F27" i="27"/>
  <c r="F25" i="27"/>
  <c r="F20" i="27"/>
  <c r="F14" i="27"/>
  <c r="F13" i="27"/>
  <c r="F35" i="27"/>
  <c r="H89" i="33" s="1"/>
  <c r="F34" i="27"/>
  <c r="H88" i="33" s="1"/>
  <c r="H12" i="32" l="1"/>
  <c r="I40" i="27"/>
  <c r="F15" i="27"/>
  <c r="F37" i="27"/>
  <c r="H68" i="33" s="1"/>
  <c r="F36" i="27"/>
  <c r="F30" i="27"/>
  <c r="E36" i="27"/>
  <c r="G67" i="33" s="1"/>
  <c r="D35" i="27"/>
  <c r="F89" i="33" s="1"/>
  <c r="E35" i="27"/>
  <c r="G89" i="33" s="1"/>
  <c r="C35" i="27"/>
  <c r="E89" i="33" s="1"/>
  <c r="D34" i="27"/>
  <c r="F88" i="33" s="1"/>
  <c r="E34" i="27"/>
  <c r="G88" i="33" s="1"/>
  <c r="C34" i="27"/>
  <c r="E88" i="33" s="1"/>
  <c r="E20" i="27"/>
  <c r="D20" i="27"/>
  <c r="C20" i="27"/>
  <c r="E14" i="27"/>
  <c r="E13" i="27"/>
  <c r="D14" i="27"/>
  <c r="D13" i="27"/>
  <c r="C14" i="27"/>
  <c r="C37" i="27" s="1"/>
  <c r="E68" i="33" s="1"/>
  <c r="C13" i="27"/>
  <c r="E28" i="27"/>
  <c r="E38" i="27" s="1"/>
  <c r="G13" i="33" s="1"/>
  <c r="E27" i="27"/>
  <c r="E25" i="27"/>
  <c r="E30" i="27" s="1"/>
  <c r="D28" i="27"/>
  <c r="D38" i="27" s="1"/>
  <c r="F13" i="33" s="1"/>
  <c r="D27" i="27"/>
  <c r="D25" i="27"/>
  <c r="C28" i="27"/>
  <c r="C38" i="27" s="1"/>
  <c r="E13" i="33" s="1"/>
  <c r="C27" i="27"/>
  <c r="C25" i="27"/>
  <c r="D36" i="27" l="1"/>
  <c r="D37" i="27"/>
  <c r="F68" i="33" s="1"/>
  <c r="C36" i="27"/>
  <c r="E67" i="33" s="1"/>
  <c r="E37" i="27"/>
  <c r="G68" i="33" s="1"/>
  <c r="D15" i="27"/>
  <c r="F40" i="27"/>
  <c r="G12" i="32" s="1"/>
  <c r="H67" i="33"/>
  <c r="D40" i="27"/>
  <c r="F67" i="33"/>
  <c r="C40" i="27"/>
  <c r="E40" i="27"/>
  <c r="E15" i="27"/>
  <c r="C30" i="27"/>
  <c r="C15" i="27"/>
  <c r="D30" i="27"/>
  <c r="D8" i="32" l="1"/>
  <c r="F8" i="32" l="1"/>
  <c r="F10" i="32" s="1"/>
  <c r="E8" i="32"/>
  <c r="E10" i="32" s="1"/>
  <c r="C10" i="32"/>
  <c r="D10" i="32" s="1"/>
  <c r="D12" i="32" s="1"/>
  <c r="D9" i="32"/>
  <c r="E12" i="32" l="1"/>
  <c r="F13" i="34"/>
  <c r="G13" i="34"/>
  <c r="F12" i="32"/>
  <c r="E13" i="34"/>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G8" i="20"/>
  <c r="G7" i="20"/>
  <c r="G6" i="20"/>
  <c r="BB65" i="33" s="1"/>
  <c r="AP12" i="20"/>
  <c r="D34" i="20"/>
  <c r="J65" i="33" l="1"/>
  <c r="S69" i="33"/>
  <c r="F71" i="33"/>
  <c r="J26" i="33"/>
  <c r="J28" i="33" s="1"/>
  <c r="J29" i="33" s="1"/>
  <c r="P26" i="33"/>
  <c r="R26" i="33"/>
  <c r="R28" i="33" s="1"/>
  <c r="AB26" i="33"/>
  <c r="AB28" i="33" s="1"/>
  <c r="AB29" i="33" s="1"/>
  <c r="AH26" i="33"/>
  <c r="AH28" i="33" s="1"/>
  <c r="AN26" i="33"/>
  <c r="AN28" i="33" s="1"/>
  <c r="AP26" i="33"/>
  <c r="AP28" i="33" s="1"/>
  <c r="O26" i="33"/>
  <c r="O28" i="33" s="1"/>
  <c r="AH40" i="33" s="1"/>
  <c r="AE26" i="33"/>
  <c r="AT65" i="33"/>
  <c r="I26" i="34"/>
  <c r="I28" i="34" s="1"/>
  <c r="K26" i="34"/>
  <c r="S26" i="34"/>
  <c r="S28" i="34" s="1"/>
  <c r="S29" i="34" s="1"/>
  <c r="Y26" i="34"/>
  <c r="Y28" i="34" s="1"/>
  <c r="Y29" i="34" s="1"/>
  <c r="AA26" i="34"/>
  <c r="AA28" i="34" s="1"/>
  <c r="AG26" i="34"/>
  <c r="AG28" i="34" s="1"/>
  <c r="AI26" i="34"/>
  <c r="AI28" i="34" s="1"/>
  <c r="AQ26" i="34"/>
  <c r="AQ28" i="34" s="1"/>
  <c r="AQ29" i="34" s="1"/>
  <c r="AW26" i="34"/>
  <c r="AW28" i="34" s="1"/>
  <c r="AM26" i="33"/>
  <c r="AM28" i="33" s="1"/>
  <c r="E65" i="33"/>
  <c r="AB65" i="33"/>
  <c r="BC67" i="34"/>
  <c r="AZ67" i="34"/>
  <c r="AQ67" i="34"/>
  <c r="AN67" i="34"/>
  <c r="AE67" i="34"/>
  <c r="AB67" i="34"/>
  <c r="S67" i="34"/>
  <c r="P67" i="34"/>
  <c r="G67" i="34"/>
  <c r="W70" i="34"/>
  <c r="K70" i="34"/>
  <c r="M72" i="34"/>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AZ65" i="34"/>
  <c r="AX71" i="34"/>
  <c r="K71" i="34"/>
  <c r="E69" i="33"/>
  <c r="E26" i="33"/>
  <c r="E28" i="33" s="1"/>
  <c r="G30" i="33" s="1"/>
  <c r="I26" i="33"/>
  <c r="I28" i="33" s="1"/>
  <c r="O34" i="33" s="1"/>
  <c r="Q26" i="33"/>
  <c r="Q28" i="33" s="1"/>
  <c r="AT42" i="33" s="1"/>
  <c r="U26" i="33"/>
  <c r="U28" i="33" s="1"/>
  <c r="U29" i="33" s="1"/>
  <c r="AC26" i="33"/>
  <c r="AC28" i="33" s="1"/>
  <c r="AV54" i="33" s="1"/>
  <c r="AG26" i="33"/>
  <c r="AO26" i="33"/>
  <c r="AO28" i="33" s="1"/>
  <c r="AS26" i="33"/>
  <c r="AS28" i="33" s="1"/>
  <c r="AS29" i="33" s="1"/>
  <c r="AU26" i="33"/>
  <c r="AU28" i="33" s="1"/>
  <c r="AU29" i="33" s="1"/>
  <c r="AW26" i="33"/>
  <c r="AW28" i="33" s="1"/>
  <c r="AW29" i="33" s="1"/>
  <c r="N26" i="33"/>
  <c r="N28" i="33" s="1"/>
  <c r="AX39" i="33" s="1"/>
  <c r="X26" i="33"/>
  <c r="X28" i="33" s="1"/>
  <c r="AO49" i="33" s="1"/>
  <c r="AL26" i="33"/>
  <c r="AL28" i="33" s="1"/>
  <c r="F65" i="33"/>
  <c r="W65" i="33"/>
  <c r="AF65" i="33"/>
  <c r="AU65"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AJ33" i="34" s="1"/>
  <c r="P26" i="34"/>
  <c r="R26" i="34"/>
  <c r="R28" i="34" s="1"/>
  <c r="R29" i="34" s="1"/>
  <c r="T26" i="34"/>
  <c r="T28" i="34" s="1"/>
  <c r="T29" i="34" s="1"/>
  <c r="E67" i="34"/>
  <c r="Q67" i="34"/>
  <c r="AC67" i="34"/>
  <c r="AO67" i="34"/>
  <c r="BA67" i="34"/>
  <c r="X71" i="34"/>
  <c r="AD26" i="34"/>
  <c r="AD28" i="34" s="1"/>
  <c r="AF26" i="34"/>
  <c r="AP26" i="34"/>
  <c r="AP28" i="34" s="1"/>
  <c r="AR26" i="34"/>
  <c r="AR28" i="34" s="1"/>
  <c r="AR29" i="34" s="1"/>
  <c r="AC26" i="34"/>
  <c r="AC28" i="34" s="1"/>
  <c r="AC29" i="34" s="1"/>
  <c r="O26" i="34"/>
  <c r="O28" i="34" s="1"/>
  <c r="O29" i="34" s="1"/>
  <c r="W26" i="34"/>
  <c r="W28" i="34" s="1"/>
  <c r="W29" i="34" s="1"/>
  <c r="AM26" i="34"/>
  <c r="AM28" i="34" s="1"/>
  <c r="AM29" i="34" s="1"/>
  <c r="AU26" i="34"/>
  <c r="AU28" i="34" s="1"/>
  <c r="AU29" i="34" s="1"/>
  <c r="X26" i="34"/>
  <c r="X28" i="34" s="1"/>
  <c r="BC49" i="34" s="1"/>
  <c r="AN26" i="34"/>
  <c r="AN28" i="34" s="1"/>
  <c r="G26" i="33"/>
  <c r="G28" i="33" s="1"/>
  <c r="AS32" i="33" s="1"/>
  <c r="BA69" i="34"/>
  <c r="BA69" i="33"/>
  <c r="AO69" i="34"/>
  <c r="AO69" i="33"/>
  <c r="AC69" i="34"/>
  <c r="AC69" i="33"/>
  <c r="Q69" i="34"/>
  <c r="Q69" i="33"/>
  <c r="AQ68" i="33"/>
  <c r="AR71" i="33"/>
  <c r="AD65" i="34"/>
  <c r="K68" i="34"/>
  <c r="I70" i="34"/>
  <c r="J71" i="34"/>
  <c r="L72" i="34"/>
  <c r="AZ69" i="34"/>
  <c r="AN69" i="34"/>
  <c r="AB69" i="34"/>
  <c r="P69" i="34"/>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F28" i="33" s="1"/>
  <c r="AF29" i="33" s="1"/>
  <c r="AU69" i="34"/>
  <c r="AU69" i="33"/>
  <c r="AH69" i="34"/>
  <c r="AH69" i="33"/>
  <c r="Y26" i="33"/>
  <c r="Y28" i="33" s="1"/>
  <c r="AU50" i="33" s="1"/>
  <c r="T65" i="33"/>
  <c r="AO65" i="33"/>
  <c r="AF68" i="33"/>
  <c r="J70" i="33"/>
  <c r="AT70" i="33"/>
  <c r="AF71" i="33"/>
  <c r="AB72" i="33"/>
  <c r="R65" i="34"/>
  <c r="AV68" i="34"/>
  <c r="AV69" i="34"/>
  <c r="AW70" i="34"/>
  <c r="BD72" i="34"/>
  <c r="AW69" i="33"/>
  <c r="T26" i="33"/>
  <c r="T28" i="33" s="1"/>
  <c r="AU45"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BA48" i="33" s="1"/>
  <c r="Q65"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H26" i="33"/>
  <c r="H28" i="33" s="1"/>
  <c r="AN33" i="33" s="1"/>
  <c r="S68" i="33"/>
  <c r="AI69" i="33"/>
  <c r="AT69" i="34"/>
  <c r="AT69" i="33"/>
  <c r="AB69" i="33"/>
  <c r="AM66" i="33"/>
  <c r="V65" i="33"/>
  <c r="AR65" i="33"/>
  <c r="AP68" i="33"/>
  <c r="O69" i="33"/>
  <c r="L70" i="33"/>
  <c r="AV70" i="33"/>
  <c r="AQ71" i="33"/>
  <c r="AM72" i="33"/>
  <c r="AC65" i="34"/>
  <c r="AX68" i="34"/>
  <c r="AY69" i="34"/>
  <c r="AY70" i="34"/>
  <c r="AZ71" i="34"/>
  <c r="AX69" i="34"/>
  <c r="AL69" i="34"/>
  <c r="Z69" i="34"/>
  <c r="N69" i="34"/>
  <c r="C9" i="33"/>
  <c r="V26" i="33"/>
  <c r="V28" i="33" s="1"/>
  <c r="V29" i="33" s="1"/>
  <c r="AT26" i="33"/>
  <c r="AT28" i="33" s="1"/>
  <c r="M67" i="33"/>
  <c r="Y67" i="33"/>
  <c r="AK67" i="33"/>
  <c r="AW67" i="33"/>
  <c r="J26" i="34"/>
  <c r="J28" i="34" s="1"/>
  <c r="J29" i="34" s="1"/>
  <c r="V26" i="34"/>
  <c r="V28" i="34" s="1"/>
  <c r="AH26" i="34"/>
  <c r="AH28" i="34" s="1"/>
  <c r="AT26" i="34"/>
  <c r="AT28" i="34" s="1"/>
  <c r="AT29" i="34" s="1"/>
  <c r="M26" i="34"/>
  <c r="M28" i="34" s="1"/>
  <c r="M29" i="34" s="1"/>
  <c r="AK26" i="34"/>
  <c r="AK28" i="34" s="1"/>
  <c r="AK29" i="34" s="1"/>
  <c r="F67" i="34"/>
  <c r="R67" i="34"/>
  <c r="AD67" i="34"/>
  <c r="AP67" i="34"/>
  <c r="BB67" i="34"/>
  <c r="AE69" i="33"/>
  <c r="AQ69" i="33"/>
  <c r="BC69" i="33"/>
  <c r="L26" i="34"/>
  <c r="AJ26" i="34"/>
  <c r="AJ28" i="34" s="1"/>
  <c r="AJ29" i="34" s="1"/>
  <c r="H67" i="34"/>
  <c r="T67" i="34"/>
  <c r="AF67" i="34"/>
  <c r="AR67" i="34"/>
  <c r="BD67" i="34"/>
  <c r="BD69" i="33"/>
  <c r="I67" i="34"/>
  <c r="U67" i="34"/>
  <c r="AG67" i="34"/>
  <c r="AS67" i="34"/>
  <c r="N26" i="34"/>
  <c r="N28" i="34" s="1"/>
  <c r="N29" i="34" s="1"/>
  <c r="Z26" i="34"/>
  <c r="Z28" i="34" s="1"/>
  <c r="AL26" i="34"/>
  <c r="AL28" i="34" s="1"/>
  <c r="AL29" i="34" s="1"/>
  <c r="J67" i="34"/>
  <c r="V67" i="34"/>
  <c r="AH67" i="34"/>
  <c r="AT67" i="34"/>
  <c r="AM66" i="34"/>
  <c r="L26" i="33"/>
  <c r="L28" i="33" s="1"/>
  <c r="AL37" i="33" s="1"/>
  <c r="AJ26" i="33"/>
  <c r="AJ28" i="33" s="1"/>
  <c r="AV26" i="33"/>
  <c r="AV28" i="33" s="1"/>
  <c r="R67" i="33"/>
  <c r="AD67" i="33"/>
  <c r="AP67" i="33"/>
  <c r="BB67" i="33"/>
  <c r="K67" i="34"/>
  <c r="W67" i="34"/>
  <c r="AI67" i="34"/>
  <c r="AU67" i="34"/>
  <c r="M26" i="33"/>
  <c r="M28" i="33" s="1"/>
  <c r="M29" i="33" s="1"/>
  <c r="AK26" i="33"/>
  <c r="AK28" i="33" s="1"/>
  <c r="AB26" i="34"/>
  <c r="AB28" i="34" s="1"/>
  <c r="AB29" i="34" s="1"/>
  <c r="AE26" i="34"/>
  <c r="AE28" i="34" s="1"/>
  <c r="AE29" i="34" s="1"/>
  <c r="L67" i="34"/>
  <c r="X67" i="34"/>
  <c r="AJ67" i="34"/>
  <c r="AV67" i="34"/>
  <c r="AF69" i="34"/>
  <c r="AS69" i="34"/>
  <c r="Z26" i="33"/>
  <c r="Z28" i="33" s="1"/>
  <c r="Z29" i="33" s="1"/>
  <c r="Q26" i="34"/>
  <c r="Q28" i="34" s="1"/>
  <c r="AO26" i="34"/>
  <c r="AO28" i="34" s="1"/>
  <c r="M67" i="34"/>
  <c r="Y67" i="34"/>
  <c r="AK67" i="34"/>
  <c r="AW67" i="34"/>
  <c r="G69" i="34"/>
  <c r="T69" i="34"/>
  <c r="AG69" i="34"/>
  <c r="AD26" i="33"/>
  <c r="AD28" i="33" s="1"/>
  <c r="AX55" i="33" s="1"/>
  <c r="U67" i="33"/>
  <c r="AG67" i="33"/>
  <c r="AS67" i="33"/>
  <c r="U26" i="34"/>
  <c r="U28" i="34" s="1"/>
  <c r="U29" i="34" s="1"/>
  <c r="AS26" i="34"/>
  <c r="N67" i="34"/>
  <c r="Z67" i="34"/>
  <c r="AL67" i="34"/>
  <c r="AX67" i="34"/>
  <c r="H69" i="34"/>
  <c r="U69" i="34"/>
  <c r="E26" i="34"/>
  <c r="E28" i="34" s="1"/>
  <c r="E29" i="34" s="1"/>
  <c r="G26" i="34"/>
  <c r="G28" i="34" s="1"/>
  <c r="C9" i="34"/>
  <c r="AY33" i="34"/>
  <c r="S33" i="34"/>
  <c r="BA33" i="34"/>
  <c r="U33" i="34"/>
  <c r="AD33" i="34"/>
  <c r="AM33" i="34"/>
  <c r="AV33" i="34"/>
  <c r="X33" i="34"/>
  <c r="AG33" i="34"/>
  <c r="Q33" i="34"/>
  <c r="AX33" i="34"/>
  <c r="AH33" i="34"/>
  <c r="R33" i="34"/>
  <c r="L28" i="34"/>
  <c r="L29" i="34" s="1"/>
  <c r="BB49" i="34"/>
  <c r="H29" i="34"/>
  <c r="K28" i="34"/>
  <c r="K29" i="34" s="1"/>
  <c r="F26" i="33"/>
  <c r="F28" i="33" s="1"/>
  <c r="AI31" i="33" s="1"/>
  <c r="P28" i="33"/>
  <c r="P29" i="33" s="1"/>
  <c r="BB54" i="33"/>
  <c r="AK54" i="33"/>
  <c r="BA37" i="33"/>
  <c r="U37" i="33"/>
  <c r="AN37" i="33"/>
  <c r="P37" i="33"/>
  <c r="AW49" i="33"/>
  <c r="AG49" i="33"/>
  <c r="AX49" i="33"/>
  <c r="AH49" i="33"/>
  <c r="AY49" i="33"/>
  <c r="AI49" i="33"/>
  <c r="AJ49" i="33"/>
  <c r="BC49" i="33"/>
  <c r="AM49" i="33"/>
  <c r="BD49" i="33"/>
  <c r="AN49" i="33"/>
  <c r="BC45" i="33"/>
  <c r="AM45" i="33"/>
  <c r="W45" i="33"/>
  <c r="AV45" i="33"/>
  <c r="AF45" i="33"/>
  <c r="AW45" i="33"/>
  <c r="AG45" i="33"/>
  <c r="AX45" i="33"/>
  <c r="AH45" i="33"/>
  <c r="BA45" i="33"/>
  <c r="AK45" i="33"/>
  <c r="U45" i="33"/>
  <c r="AT45" i="33"/>
  <c r="AD45" i="33"/>
  <c r="AT39" i="33"/>
  <c r="W39" i="33"/>
  <c r="AW39" i="33"/>
  <c r="AB39" i="33"/>
  <c r="U39" i="33"/>
  <c r="AS40" i="33"/>
  <c r="V40" i="33"/>
  <c r="AU40" i="33"/>
  <c r="AE40" i="33"/>
  <c r="BD40" i="33"/>
  <c r="AI40" i="33"/>
  <c r="S40" i="33"/>
  <c r="AR40" i="33"/>
  <c r="AB40" i="33"/>
  <c r="S26" i="33"/>
  <c r="AA26" i="33"/>
  <c r="AQ26" i="33"/>
  <c r="AA45" i="33"/>
  <c r="W29" i="33"/>
  <c r="AT48" i="33"/>
  <c r="Z39" i="33"/>
  <c r="Q40" i="33"/>
  <c r="AY45" i="33"/>
  <c r="AH55" i="33"/>
  <c r="AG48" i="33"/>
  <c r="AX48" i="33"/>
  <c r="AH48" i="33"/>
  <c r="AY48" i="33"/>
  <c r="AI48" i="33"/>
  <c r="AZ48" i="33"/>
  <c r="BC48" i="33"/>
  <c r="AM48" i="33"/>
  <c r="BD48" i="33"/>
  <c r="AN48" i="33"/>
  <c r="X48" i="33"/>
  <c r="AP50" i="33"/>
  <c r="Z50" i="33"/>
  <c r="AQ50" i="33"/>
  <c r="AA50" i="33"/>
  <c r="AR50" i="33"/>
  <c r="AB50" i="33"/>
  <c r="AS50" i="33"/>
  <c r="AC50" i="33"/>
  <c r="AV50" i="33"/>
  <c r="AF50" i="33"/>
  <c r="AO50" i="33"/>
  <c r="AQ45" i="33"/>
  <c r="AK49" i="33"/>
  <c r="AM29" i="33"/>
  <c r="S39" i="33"/>
  <c r="AR45" i="33"/>
  <c r="AM50" i="33"/>
  <c r="AP39" i="33"/>
  <c r="AI45" i="33"/>
  <c r="AC49" i="33"/>
  <c r="AB45" i="33"/>
  <c r="BC50" i="33"/>
  <c r="BB55" i="33"/>
  <c r="AU55" i="33"/>
  <c r="AE55" i="33"/>
  <c r="AV55" i="33"/>
  <c r="AF55" i="33"/>
  <c r="AO55" i="33"/>
  <c r="AZ55" i="33"/>
  <c r="AS55" i="33"/>
  <c r="AD48" i="33"/>
  <c r="K26" i="33"/>
  <c r="AI26" i="33"/>
  <c r="N29" i="33"/>
  <c r="BB50" i="33"/>
  <c r="AP55" i="33"/>
  <c r="AT49" i="33"/>
  <c r="AI55" i="33"/>
  <c r="AQ12" i="20"/>
  <c r="BF12" i="20"/>
  <c r="BD12" i="20"/>
  <c r="D78" i="20"/>
  <c r="B31" i="20" s="1"/>
  <c r="BG12" i="20"/>
  <c r="BE12" i="20"/>
  <c r="BC12" i="20"/>
  <c r="BA12" i="20"/>
  <c r="AY12" i="20"/>
  <c r="AW12" i="20"/>
  <c r="AU12" i="20"/>
  <c r="AS12" i="20"/>
  <c r="BB12" i="20"/>
  <c r="AZ12" i="20"/>
  <c r="AX12" i="20"/>
  <c r="AV12" i="20"/>
  <c r="AT12" i="20"/>
  <c r="AR12" i="20"/>
  <c r="AF32" i="33" l="1"/>
  <c r="AX33" i="33"/>
  <c r="AT34" i="33"/>
  <c r="AU34" i="33"/>
  <c r="AC34" i="33"/>
  <c r="BA33" i="33"/>
  <c r="AV42" i="33"/>
  <c r="BA49" i="34"/>
  <c r="Z37" i="33"/>
  <c r="AV29" i="34"/>
  <c r="AR34" i="33"/>
  <c r="AG34" i="33"/>
  <c r="S34" i="33"/>
  <c r="AY40" i="33"/>
  <c r="AL40" i="33"/>
  <c r="Q37" i="33"/>
  <c r="AX49" i="34"/>
  <c r="J34" i="33"/>
  <c r="AM37" i="33"/>
  <c r="AR37" i="33"/>
  <c r="AZ49" i="34"/>
  <c r="AR29" i="33"/>
  <c r="AP34" i="33"/>
  <c r="AI37" i="33"/>
  <c r="AY49" i="34"/>
  <c r="X34" i="33"/>
  <c r="P33" i="33"/>
  <c r="X40" i="33"/>
  <c r="BB40" i="33"/>
  <c r="AW37" i="33"/>
  <c r="BD49" i="34"/>
  <c r="AW49" i="34"/>
  <c r="O29" i="33"/>
  <c r="X29" i="33"/>
  <c r="AJ55" i="33"/>
  <c r="AL55" i="33"/>
  <c r="AD49" i="33"/>
  <c r="N34" i="33"/>
  <c r="AJ48" i="33"/>
  <c r="AW48" i="33"/>
  <c r="R40" i="33"/>
  <c r="AJ29" i="33"/>
  <c r="AN40" i="33"/>
  <c r="AC40" i="33"/>
  <c r="AZ49" i="33"/>
  <c r="AO54" i="33"/>
  <c r="AW33" i="34"/>
  <c r="T33" i="33"/>
  <c r="X33" i="33"/>
  <c r="I33" i="33"/>
  <c r="AM42" i="33"/>
  <c r="AD42" i="33"/>
  <c r="AO33" i="33"/>
  <c r="N33" i="33"/>
  <c r="AZ33" i="33"/>
  <c r="Y33" i="33"/>
  <c r="AC42" i="33"/>
  <c r="S42" i="33"/>
  <c r="AD33" i="33"/>
  <c r="S33" i="33"/>
  <c r="T42" i="33"/>
  <c r="AJ33" i="33"/>
  <c r="AU33" i="33"/>
  <c r="AZ42" i="33"/>
  <c r="AP42" i="33"/>
  <c r="AT33" i="33"/>
  <c r="R33" i="33"/>
  <c r="M33" i="33"/>
  <c r="AI33" i="33"/>
  <c r="AH33" i="33"/>
  <c r="AC33" i="33"/>
  <c r="AY33" i="33"/>
  <c r="AI42" i="33"/>
  <c r="AW42" i="33"/>
  <c r="AI32" i="33"/>
  <c r="J32" i="33"/>
  <c r="AE32" i="33"/>
  <c r="Z32" i="33"/>
  <c r="AB32" i="33"/>
  <c r="AL32" i="33"/>
  <c r="AQ32" i="33"/>
  <c r="AP32" i="33"/>
  <c r="O32" i="33"/>
  <c r="I32" i="33"/>
  <c r="V32" i="33"/>
  <c r="AG32" i="33"/>
  <c r="AV32" i="33"/>
  <c r="AR32" i="33"/>
  <c r="AU32" i="33"/>
  <c r="AK32" i="33"/>
  <c r="G29" i="33"/>
  <c r="AC32" i="33"/>
  <c r="AW32" i="33"/>
  <c r="U32" i="33"/>
  <c r="P32" i="33"/>
  <c r="AU31" i="33"/>
  <c r="P31" i="33"/>
  <c r="AW31" i="33"/>
  <c r="R31" i="33"/>
  <c r="AP31" i="33"/>
  <c r="AD31" i="33"/>
  <c r="U31" i="33"/>
  <c r="L31" i="33"/>
  <c r="F29" i="33"/>
  <c r="AB31" i="33"/>
  <c r="AM31" i="33"/>
  <c r="V31" i="33"/>
  <c r="AF31" i="33"/>
  <c r="AY31" i="33"/>
  <c r="X31" i="33"/>
  <c r="U30" i="33"/>
  <c r="AK29" i="33"/>
  <c r="AJ45" i="33"/>
  <c r="BB48" i="33"/>
  <c r="AI39" i="33"/>
  <c r="AC48" i="33"/>
  <c r="AX42" i="33"/>
  <c r="AC29" i="33"/>
  <c r="AL48" i="33"/>
  <c r="AA42" i="33"/>
  <c r="AF48" i="33"/>
  <c r="AV48" i="33"/>
  <c r="AE48" i="33"/>
  <c r="AU48" i="33"/>
  <c r="AB48" i="33"/>
  <c r="AR48" i="33"/>
  <c r="AA48" i="33"/>
  <c r="AQ48" i="33"/>
  <c r="Z48" i="33"/>
  <c r="AP48" i="33"/>
  <c r="Y48" i="33"/>
  <c r="AO48" i="33"/>
  <c r="AZ45" i="33"/>
  <c r="AL29" i="33"/>
  <c r="T29" i="33"/>
  <c r="AS42" i="33"/>
  <c r="AJ42" i="33"/>
  <c r="AG42" i="33"/>
  <c r="AF42" i="33"/>
  <c r="W42" i="33"/>
  <c r="BC42" i="33"/>
  <c r="AK39" i="33"/>
  <c r="Q39" i="33"/>
  <c r="AN39" i="33"/>
  <c r="BC39" i="33"/>
  <c r="V45" i="33"/>
  <c r="AL45" i="33"/>
  <c r="BB45" i="33"/>
  <c r="AC45" i="33"/>
  <c r="AS45" i="33"/>
  <c r="Z45" i="33"/>
  <c r="AP45" i="33"/>
  <c r="Y45" i="33"/>
  <c r="AO45" i="33"/>
  <c r="X45" i="33"/>
  <c r="AN45" i="33"/>
  <c r="BD45" i="33"/>
  <c r="AE45" i="33"/>
  <c r="AN30" i="33"/>
  <c r="AJ54" i="33"/>
  <c r="BC54" i="33"/>
  <c r="AH54" i="33"/>
  <c r="R39" i="33"/>
  <c r="I29" i="33"/>
  <c r="AZ34" i="33"/>
  <c r="AM34" i="33"/>
  <c r="W34" i="33"/>
  <c r="AV34" i="33"/>
  <c r="AF34" i="33"/>
  <c r="P34" i="33"/>
  <c r="AO34" i="33"/>
  <c r="Y34" i="33"/>
  <c r="AX34" i="33"/>
  <c r="AH34" i="33"/>
  <c r="R34" i="33"/>
  <c r="BA34" i="33"/>
  <c r="AK34" i="33"/>
  <c r="U34" i="33"/>
  <c r="BB34" i="33"/>
  <c r="AL34" i="33"/>
  <c r="V34" i="33"/>
  <c r="L34" i="33"/>
  <c r="AI34" i="33"/>
  <c r="AB34" i="33"/>
  <c r="AA34" i="33"/>
  <c r="AD34" i="33"/>
  <c r="M34" i="33"/>
  <c r="AS34" i="33"/>
  <c r="Z34" i="33"/>
  <c r="Q34" i="33"/>
  <c r="AW34" i="33"/>
  <c r="AN34" i="33"/>
  <c r="AE34" i="33"/>
  <c r="T34" i="33"/>
  <c r="AQ33" i="34"/>
  <c r="AA33" i="34"/>
  <c r="K33" i="34"/>
  <c r="AR33" i="34"/>
  <c r="AB33" i="34"/>
  <c r="L33" i="34"/>
  <c r="AS33" i="34"/>
  <c r="AC33" i="34"/>
  <c r="M33" i="34"/>
  <c r="AL33" i="34"/>
  <c r="V33" i="34"/>
  <c r="AU33" i="34"/>
  <c r="AE33" i="34"/>
  <c r="O33" i="34"/>
  <c r="AN33" i="34"/>
  <c r="AG28" i="33"/>
  <c r="AG29" i="33" s="1"/>
  <c r="AG40" i="33"/>
  <c r="Z40" i="33"/>
  <c r="AO40" i="33"/>
  <c r="O33" i="33"/>
  <c r="Y29" i="33"/>
  <c r="W33" i="33"/>
  <c r="J33" i="33"/>
  <c r="Z33" i="33"/>
  <c r="AP33" i="33"/>
  <c r="AG33" i="33"/>
  <c r="AW33" i="33"/>
  <c r="V33" i="33"/>
  <c r="AL33" i="33"/>
  <c r="AS33" i="33"/>
  <c r="U33" i="33"/>
  <c r="AK33" i="33"/>
  <c r="L33" i="33"/>
  <c r="AB33" i="33"/>
  <c r="AR33" i="33"/>
  <c r="K33" i="33"/>
  <c r="AA33" i="33"/>
  <c r="AQ33" i="33"/>
  <c r="BA49" i="33"/>
  <c r="BB49" i="33"/>
  <c r="AD50" i="33"/>
  <c r="Q33" i="33"/>
  <c r="H29" i="33"/>
  <c r="AL49" i="33"/>
  <c r="AG50" i="33"/>
  <c r="AW50" i="33"/>
  <c r="AN50" i="33"/>
  <c r="BD50" i="33"/>
  <c r="AK50" i="33"/>
  <c r="BA50" i="33"/>
  <c r="AJ50" i="33"/>
  <c r="AZ50" i="33"/>
  <c r="AI50" i="33"/>
  <c r="AY50" i="33"/>
  <c r="AH50" i="33"/>
  <c r="AX50" i="33"/>
  <c r="AS49" i="33"/>
  <c r="AW40" i="33"/>
  <c r="AE33" i="33"/>
  <c r="AN29" i="33"/>
  <c r="AX40" i="33"/>
  <c r="AF33" i="33"/>
  <c r="AM33" i="33"/>
  <c r="AV33" i="33"/>
  <c r="T40" i="33"/>
  <c r="AJ40" i="33"/>
  <c r="AZ40" i="33"/>
  <c r="AA40" i="33"/>
  <c r="AQ40" i="33"/>
  <c r="P40" i="33"/>
  <c r="AF40" i="33"/>
  <c r="AV40" i="33"/>
  <c r="W40" i="33"/>
  <c r="AM40" i="33"/>
  <c r="BC40" i="33"/>
  <c r="AD40" i="33"/>
  <c r="AT40" i="33"/>
  <c r="U40" i="33"/>
  <c r="AK40" i="33"/>
  <c r="BA40" i="33"/>
  <c r="AF49" i="33"/>
  <c r="AV49" i="33"/>
  <c r="AE49" i="33"/>
  <c r="AU49" i="33"/>
  <c r="AB49" i="33"/>
  <c r="AR49" i="33"/>
  <c r="AA49" i="33"/>
  <c r="AQ49" i="33"/>
  <c r="Z49" i="33"/>
  <c r="AP49" i="33"/>
  <c r="Y49" i="33"/>
  <c r="J33" i="34"/>
  <c r="Z33" i="34"/>
  <c r="AP33" i="34"/>
  <c r="I33" i="34"/>
  <c r="Y33" i="34"/>
  <c r="AO33" i="34"/>
  <c r="P33" i="34"/>
  <c r="AF33" i="34"/>
  <c r="W33" i="34"/>
  <c r="N33" i="34"/>
  <c r="AT33" i="34"/>
  <c r="AK33" i="34"/>
  <c r="T33" i="34"/>
  <c r="AZ33" i="34"/>
  <c r="AI33" i="34"/>
  <c r="AP40" i="33"/>
  <c r="Y40" i="33"/>
  <c r="AJ30" i="33"/>
  <c r="R30" i="33"/>
  <c r="AQ37" i="33"/>
  <c r="AA37" i="33"/>
  <c r="AZ37" i="33"/>
  <c r="AJ37" i="33"/>
  <c r="T37" i="33"/>
  <c r="AS37" i="33"/>
  <c r="AC37" i="33"/>
  <c r="M37" i="33"/>
  <c r="AT37" i="33"/>
  <c r="AD37" i="33"/>
  <c r="N37" i="33"/>
  <c r="AO37" i="33"/>
  <c r="Y37" i="33"/>
  <c r="AX37" i="33"/>
  <c r="AH37" i="33"/>
  <c r="R37" i="33"/>
  <c r="AF37" i="33"/>
  <c r="BD37" i="33"/>
  <c r="AE37" i="33"/>
  <c r="AU37" i="33"/>
  <c r="AV37" i="33"/>
  <c r="BC37" i="33"/>
  <c r="AO49" i="34"/>
  <c r="Y49" i="34"/>
  <c r="AP49" i="34"/>
  <c r="Z49" i="34"/>
  <c r="AQ49" i="34"/>
  <c r="AA49" i="34"/>
  <c r="AR49" i="34"/>
  <c r="AB49" i="34"/>
  <c r="AS49" i="34"/>
  <c r="AC49" i="34"/>
  <c r="AT49" i="34"/>
  <c r="AD49" i="34"/>
  <c r="AU49" i="34"/>
  <c r="AE49" i="34"/>
  <c r="AV49" i="34"/>
  <c r="AF49" i="34"/>
  <c r="AF28" i="34"/>
  <c r="P28" i="34"/>
  <c r="AQ39" i="33"/>
  <c r="BB39" i="33"/>
  <c r="AL39" i="33"/>
  <c r="V39" i="33"/>
  <c r="AU39" i="33"/>
  <c r="AE39" i="33"/>
  <c r="O39" i="33"/>
  <c r="AV39" i="33"/>
  <c r="AF39" i="33"/>
  <c r="P39" i="33"/>
  <c r="AO39" i="33"/>
  <c r="Y39" i="33"/>
  <c r="AZ39" i="33"/>
  <c r="AJ39" i="33"/>
  <c r="T39" i="33"/>
  <c r="AS39" i="33"/>
  <c r="BD54" i="33"/>
  <c r="AN54" i="33"/>
  <c r="AW54" i="33"/>
  <c r="AG54" i="33"/>
  <c r="AP54" i="33"/>
  <c r="AY54" i="33"/>
  <c r="AI54" i="33"/>
  <c r="AT54" i="33"/>
  <c r="AD54" i="33"/>
  <c r="AU54" i="33"/>
  <c r="AE54" i="33"/>
  <c r="AR54" i="33"/>
  <c r="AZ54" i="33"/>
  <c r="AS54" i="33"/>
  <c r="Z42" i="33"/>
  <c r="AY42" i="33"/>
  <c r="AU30" i="33"/>
  <c r="E62" i="33"/>
  <c r="E63" i="33" s="1"/>
  <c r="W30" i="33"/>
  <c r="Y30" i="33"/>
  <c r="Z30" i="33"/>
  <c r="X30" i="33"/>
  <c r="AG30" i="33"/>
  <c r="AL30" i="33"/>
  <c r="F30" i="33"/>
  <c r="F60" i="33" s="1"/>
  <c r="AC30" i="33"/>
  <c r="L30" i="33"/>
  <c r="AK30" i="33"/>
  <c r="AX30" i="33"/>
  <c r="AE28" i="33"/>
  <c r="AE29" i="33" s="1"/>
  <c r="AH39" i="33"/>
  <c r="AD29" i="33"/>
  <c r="L29" i="33"/>
  <c r="AK55" i="33"/>
  <c r="BA55" i="33"/>
  <c r="AR55" i="33"/>
  <c r="AG55" i="33"/>
  <c r="AW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O37" i="33"/>
  <c r="X37" i="33"/>
  <c r="W37" i="33"/>
  <c r="AP37" i="33"/>
  <c r="AG37" i="33"/>
  <c r="V37" i="33"/>
  <c r="BB37" i="33"/>
  <c r="AK37" i="33"/>
  <c r="AB37" i="33"/>
  <c r="S37" i="33"/>
  <c r="AY37" i="33"/>
  <c r="BA54" i="33"/>
  <c r="AM54" i="33"/>
  <c r="AL54" i="33"/>
  <c r="AQ54" i="33"/>
  <c r="AX54" i="33"/>
  <c r="AF54" i="33"/>
  <c r="AA31" i="33"/>
  <c r="AQ31" i="33"/>
  <c r="AK31" i="33"/>
  <c r="AR31" i="33"/>
  <c r="T31" i="33"/>
  <c r="AC31" i="33"/>
  <c r="N31" i="33"/>
  <c r="AX31" i="33"/>
  <c r="Z31" i="33"/>
  <c r="J31" i="33"/>
  <c r="Q31" i="33"/>
  <c r="G31" i="33"/>
  <c r="G60" i="33" s="1"/>
  <c r="AE31" i="33"/>
  <c r="Y31" i="33"/>
  <c r="O31" i="33"/>
  <c r="AV31" i="33"/>
  <c r="X29" i="34"/>
  <c r="AN49" i="34"/>
  <c r="AM49" i="34"/>
  <c r="AL49" i="34"/>
  <c r="AK49" i="34"/>
  <c r="AJ49" i="34"/>
  <c r="AI49" i="34"/>
  <c r="AH49" i="34"/>
  <c r="AG49" i="34"/>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BD76" i="34" s="1"/>
  <c r="AY66" i="34"/>
  <c r="AY76" i="34" s="1"/>
  <c r="AY66" i="33"/>
  <c r="AY76" i="33" s="1"/>
  <c r="AM76" i="34"/>
  <c r="BA66" i="33"/>
  <c r="BA76" i="33" s="1"/>
  <c r="BA66" i="34"/>
  <c r="BA76" i="34" s="1"/>
  <c r="AN31" i="33"/>
  <c r="AO31" i="33"/>
  <c r="AL31" i="33"/>
  <c r="M31" i="33"/>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AN66" i="34"/>
  <c r="AN76" i="34" s="1"/>
  <c r="AN66" i="33"/>
  <c r="AN76" i="33" s="1"/>
  <c r="AQ66" i="34"/>
  <c r="AQ76" i="34" s="1"/>
  <c r="AQ66" i="33"/>
  <c r="AQ76" i="33" s="1"/>
  <c r="AV66" i="34"/>
  <c r="AV76" i="34" s="1"/>
  <c r="AV66" i="33"/>
  <c r="AV76" i="33" s="1"/>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J60" i="33" l="1"/>
  <c r="F61" i="33"/>
  <c r="F62" i="33" s="1"/>
  <c r="G61" i="33" s="1"/>
  <c r="G62" i="33" s="1"/>
  <c r="H61" i="33" s="1"/>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E64" i="33"/>
  <c r="BA41" i="34"/>
  <c r="BA60" i="34" s="1"/>
  <c r="AK41" i="34"/>
  <c r="AK60" i="34" s="1"/>
  <c r="U41" i="34"/>
  <c r="U60" i="34" s="1"/>
  <c r="AT41" i="34"/>
  <c r="AD41" i="34"/>
  <c r="AD60" i="34" s="1"/>
  <c r="BC41" i="34"/>
  <c r="BC60" i="34" s="1"/>
  <c r="AM41" i="34"/>
  <c r="W41" i="34"/>
  <c r="W60" i="34" s="1"/>
  <c r="AV41" i="34"/>
  <c r="AV60" i="34" s="1"/>
  <c r="AF41" i="34"/>
  <c r="AF60" i="34" s="1"/>
  <c r="AW41" i="34"/>
  <c r="AG41" i="34"/>
  <c r="Q41" i="34"/>
  <c r="Q60" i="34" s="1"/>
  <c r="AP41" i="34"/>
  <c r="AP60" i="34" s="1"/>
  <c r="Z41" i="34"/>
  <c r="Z60" i="34" s="1"/>
  <c r="AY41" i="34"/>
  <c r="AY60" i="34" s="1"/>
  <c r="AI41" i="34"/>
  <c r="S41" i="34"/>
  <c r="AR41" i="34"/>
  <c r="AB41" i="34"/>
  <c r="AB60" i="34" s="1"/>
  <c r="AC41" i="34"/>
  <c r="AC60" i="34" s="1"/>
  <c r="AL41" i="34"/>
  <c r="AL60" i="34" s="1"/>
  <c r="AU41" i="34"/>
  <c r="BD41" i="34"/>
  <c r="X41" i="34"/>
  <c r="X60" i="34" s="1"/>
  <c r="Y41" i="34"/>
  <c r="AH41" i="34"/>
  <c r="AQ41" i="34"/>
  <c r="AQ60" i="34" s="1"/>
  <c r="AZ41" i="34"/>
  <c r="T41" i="34"/>
  <c r="T60" i="34" s="1"/>
  <c r="AS41" i="34"/>
  <c r="BB41" i="34"/>
  <c r="V41" i="34"/>
  <c r="AE41" i="34"/>
  <c r="AN41" i="34"/>
  <c r="AO41" i="34"/>
  <c r="AO60" i="34" s="1"/>
  <c r="AX41" i="34"/>
  <c r="R41" i="34"/>
  <c r="AA41" i="34"/>
  <c r="AJ41" i="34"/>
  <c r="AS57" i="34"/>
  <c r="BB57" i="34"/>
  <c r="BB60" i="34" s="1"/>
  <c r="AL57" i="34"/>
  <c r="AU57" i="34"/>
  <c r="BD57" i="34"/>
  <c r="BD60" i="34" s="1"/>
  <c r="AN57" i="34"/>
  <c r="BA57" i="34"/>
  <c r="AT57" i="34"/>
  <c r="AT60" i="34" s="1"/>
  <c r="AM57" i="34"/>
  <c r="AW57" i="34"/>
  <c r="AG57" i="34"/>
  <c r="AG60" i="34" s="1"/>
  <c r="AP57" i="34"/>
  <c r="AY57" i="34"/>
  <c r="AI57" i="34"/>
  <c r="AR57" i="34"/>
  <c r="AK57" i="34"/>
  <c r="AV57" i="34"/>
  <c r="AX57" i="34"/>
  <c r="AQ57" i="34"/>
  <c r="AJ57" i="34"/>
  <c r="AJ60" i="34" s="1"/>
  <c r="BC57" i="34"/>
  <c r="AO57" i="34"/>
  <c r="AH57" i="34"/>
  <c r="AZ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I60" i="33"/>
  <c r="H60" i="33"/>
  <c r="K60" i="33"/>
  <c r="G60" i="34"/>
  <c r="R60" i="34"/>
  <c r="K60" i="34"/>
  <c r="AW60" i="34"/>
  <c r="O60" i="34"/>
  <c r="AR60" i="34"/>
  <c r="E63" i="34"/>
  <c r="E64" i="34" s="1"/>
  <c r="F61" i="34"/>
  <c r="J60" i="34"/>
  <c r="Y60" i="34"/>
  <c r="AN60" i="34"/>
  <c r="L60" i="34"/>
  <c r="I60" i="34"/>
  <c r="AM60" i="34"/>
  <c r="M60" i="34"/>
  <c r="V60" i="34"/>
  <c r="AA60" i="34"/>
  <c r="P60" i="34"/>
  <c r="AE60" i="34"/>
  <c r="N60" i="34"/>
  <c r="S60" i="34"/>
  <c r="H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P36" i="33"/>
  <c r="P60" i="33" s="1"/>
  <c r="AW36" i="33"/>
  <c r="AO36" i="33"/>
  <c r="AG36" i="33"/>
  <c r="Y36" i="33"/>
  <c r="Q36" i="33"/>
  <c r="Q60" i="33" s="1"/>
  <c r="AX36" i="33"/>
  <c r="AP36" i="33"/>
  <c r="AH36" i="33"/>
  <c r="Z36" i="33"/>
  <c r="R36" i="33"/>
  <c r="R60" i="33" s="1"/>
  <c r="BA36" i="33"/>
  <c r="AS36" i="33"/>
  <c r="AK36" i="33"/>
  <c r="AC36" i="33"/>
  <c r="U36" i="33"/>
  <c r="M36" i="33"/>
  <c r="M60" i="33" s="1"/>
  <c r="BB36" i="33"/>
  <c r="AT36" i="33"/>
  <c r="AL36" i="33"/>
  <c r="AD36" i="33"/>
  <c r="V36" i="33"/>
  <c r="N36" i="33"/>
  <c r="N60" i="33" s="1"/>
  <c r="AJ36" i="33"/>
  <c r="AQ36" i="33"/>
  <c r="AZ36" i="33"/>
  <c r="T36" i="33"/>
  <c r="AR36" i="33"/>
  <c r="AY36" i="33"/>
  <c r="AA36" i="33"/>
  <c r="AB36" i="33"/>
  <c r="AI36" i="33"/>
  <c r="L36" i="33"/>
  <c r="L60" i="33" s="1"/>
  <c r="S36" i="33"/>
  <c r="S60" i="33" s="1"/>
  <c r="AA29" i="33"/>
  <c r="D41" i="20"/>
  <c r="H12" i="20"/>
  <c r="AA60" i="33" l="1"/>
  <c r="AW60" i="33"/>
  <c r="V60" i="33"/>
  <c r="AR60" i="33"/>
  <c r="AK60" i="33"/>
  <c r="AX60" i="34"/>
  <c r="AU60" i="34"/>
  <c r="AZ60" i="34"/>
  <c r="AG60" i="33"/>
  <c r="X60" i="33"/>
  <c r="AI60" i="34"/>
  <c r="AS60" i="34"/>
  <c r="AH60" i="34"/>
  <c r="F63" i="33"/>
  <c r="F64" i="33" s="1"/>
  <c r="AB60" i="33"/>
  <c r="AS60" i="33"/>
  <c r="AX60" i="33"/>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I77" i="34" s="1"/>
  <c r="I80" i="34" s="1"/>
  <c r="J62" i="34"/>
  <c r="K61" i="34" s="1"/>
  <c r="K63" i="33"/>
  <c r="K64" i="33" s="1"/>
  <c r="L62" i="33"/>
  <c r="M61" i="33" s="1"/>
  <c r="D46" i="20"/>
  <c r="M12" i="20"/>
  <c r="I81" i="34" l="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L77" i="34" s="1"/>
  <c r="L80" i="34" s="1"/>
  <c r="M62" i="34"/>
  <c r="N61" i="34" s="1"/>
  <c r="N63" i="33"/>
  <c r="N64" i="33" s="1"/>
  <c r="O62" i="33"/>
  <c r="P61" i="33" s="1"/>
  <c r="D49" i="20"/>
  <c r="P12" i="20"/>
  <c r="L81" i="34" l="1"/>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S77" i="34" s="1"/>
  <c r="S80" i="34" s="1"/>
  <c r="T62" i="34"/>
  <c r="U61" i="34" s="1"/>
  <c r="V62" i="33"/>
  <c r="W61" i="33" s="1"/>
  <c r="D56" i="20"/>
  <c r="W12" i="20"/>
  <c r="S81" i="34" l="1"/>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s="1"/>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M62" i="34"/>
  <c r="AN61" i="34" s="1"/>
  <c r="AN63" i="33"/>
  <c r="AN64" i="33" s="1"/>
  <c r="AN77" i="33" s="1"/>
  <c r="AN80" i="33" s="1"/>
  <c r="AO62" i="33"/>
  <c r="AP61" i="33" s="1"/>
  <c r="AL77" i="34" l="1"/>
  <c r="AL80" i="34" s="1"/>
  <c r="AL81" i="34" s="1"/>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R62" i="33"/>
  <c r="AS61" i="33" s="1"/>
  <c r="AQ81" i="33" l="1"/>
  <c r="C6" i="33" s="1"/>
  <c r="I28" i="29" s="1"/>
  <c r="AO81" i="34"/>
  <c r="AP63" i="34"/>
  <c r="AP64" i="34" s="1"/>
  <c r="AP77" i="34" s="1"/>
  <c r="AP80" i="34" s="1"/>
  <c r="AQ62" i="34"/>
  <c r="AR61" i="34" s="1"/>
  <c r="AR63" i="33"/>
  <c r="AR64" i="33" s="1"/>
  <c r="AR77" i="33" s="1"/>
  <c r="AR80" i="33" s="1"/>
  <c r="AS62" i="33"/>
  <c r="AT61" i="33" s="1"/>
  <c r="AR81" i="33" l="1"/>
  <c r="AP81" i="34"/>
  <c r="AS63" i="33"/>
  <c r="AS64" i="33" s="1"/>
  <c r="AS77" i="33" s="1"/>
  <c r="AS80" i="33" s="1"/>
  <c r="AQ63" i="34"/>
  <c r="AQ64" i="34" s="1"/>
  <c r="AQ77" i="34" s="1"/>
  <c r="AQ80" i="34" s="1"/>
  <c r="AQ81" i="34" s="1"/>
  <c r="C6" i="34" s="1"/>
  <c r="I29" i="29" s="1"/>
  <c r="AR62" i="34"/>
  <c r="AS61" i="34" s="1"/>
  <c r="AT62" i="33"/>
  <c r="AU61" i="33" s="1"/>
  <c r="AS81" i="33" l="1"/>
  <c r="AR63" i="34"/>
  <c r="AR64" i="34" s="1"/>
  <c r="AR77" i="34" s="1"/>
  <c r="AR80" i="34" s="1"/>
  <c r="AR81" i="34" s="1"/>
  <c r="AS62" i="34"/>
  <c r="AT61" i="34" s="1"/>
  <c r="AT63" i="33"/>
  <c r="AT64" i="33" s="1"/>
  <c r="AT77" i="33" s="1"/>
  <c r="AT80" i="33" s="1"/>
  <c r="AU62" i="33"/>
  <c r="AV61" i="33" s="1"/>
  <c r="AT81" i="33" l="1"/>
  <c r="AU63" i="33"/>
  <c r="AU64" i="33" s="1"/>
  <c r="AU77" i="33" s="1"/>
  <c r="AU80" i="33" s="1"/>
  <c r="AS63" i="34"/>
  <c r="AS64" i="34" s="1"/>
  <c r="AS77" i="34" s="1"/>
  <c r="AS80" i="34" s="1"/>
  <c r="AS81" i="34" s="1"/>
  <c r="AT62" i="34"/>
  <c r="AU61" i="34" s="1"/>
  <c r="AV62" i="33"/>
  <c r="AW61" i="33" s="1"/>
  <c r="AU81" i="33" l="1"/>
  <c r="AT63" i="34"/>
  <c r="AT64" i="34" s="1"/>
  <c r="AT77" i="34" s="1"/>
  <c r="AT80" i="34" s="1"/>
  <c r="AT81" i="34" s="1"/>
  <c r="AV63" i="33"/>
  <c r="AV64" i="33" s="1"/>
  <c r="AV77" i="33" s="1"/>
  <c r="AV80" i="33" s="1"/>
  <c r="AV81" i="33" s="1"/>
  <c r="AU62" i="34"/>
  <c r="AV61" i="34" s="1"/>
  <c r="AW62" i="33"/>
  <c r="AX61" i="33" s="1"/>
  <c r="AW63" i="33" l="1"/>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Simpson, Alannah</author>
  </authors>
  <commentList>
    <comment ref="H29" authorId="0" shapeId="0" xr:uid="{19209125-88AF-4137-AE73-A2206CCF2854}">
      <text>
        <r>
          <rPr>
            <b/>
            <sz val="9"/>
            <color indexed="81"/>
            <rFont val="Tahoma"/>
            <family val="2"/>
          </rPr>
          <t>Simpson, Alannah:</t>
        </r>
        <r>
          <rPr>
            <sz val="9"/>
            <color indexed="81"/>
            <rFont val="Tahoma"/>
            <family val="2"/>
          </rPr>
          <t xml:space="preserve">
removed via CI/CML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Simpson, Alannah</author>
  </authors>
  <commentList>
    <comment ref="H8" authorId="0" shapeId="0" xr:uid="{575873A8-6740-4F73-A08F-08CBE66E40F7}">
      <text>
        <r>
          <rPr>
            <b/>
            <sz val="9"/>
            <color indexed="81"/>
            <rFont val="Tahoma"/>
            <family val="2"/>
          </rPr>
          <t>Simpson, Alannah:</t>
        </r>
        <r>
          <rPr>
            <sz val="9"/>
            <color indexed="81"/>
            <rFont val="Tahoma"/>
            <family val="2"/>
          </rPr>
          <t xml:space="preserve">
Based on a monthly spend of £158,333</t>
        </r>
      </text>
    </comment>
    <comment ref="I8" authorId="0" shapeId="0" xr:uid="{E72BEEA8-436E-4800-BC9E-438ED482AF83}">
      <text>
        <r>
          <rPr>
            <b/>
            <sz val="9"/>
            <color indexed="81"/>
            <rFont val="Tahoma"/>
            <family val="2"/>
          </rPr>
          <t>Simpson, Alannah:</t>
        </r>
        <r>
          <rPr>
            <sz val="9"/>
            <color indexed="81"/>
            <rFont val="Tahoma"/>
            <family val="2"/>
          </rPr>
          <t xml:space="preserve">
Contract increase from Kalvatek - prices gone up (no additional equipment purchased)</t>
        </r>
      </text>
    </comment>
    <comment ref="H9" authorId="0" shapeId="0" xr:uid="{0D13806C-6A74-4505-9CFE-C1D5C80E9E7F}">
      <text>
        <r>
          <rPr>
            <b/>
            <sz val="9"/>
            <color indexed="81"/>
            <rFont val="Tahoma"/>
            <family val="2"/>
          </rPr>
          <t>Simpson, Alannah:</t>
        </r>
        <r>
          <rPr>
            <sz val="9"/>
            <color indexed="81"/>
            <rFont val="Tahoma"/>
            <family val="2"/>
          </rPr>
          <t xml:space="preserve">
operations cost - depots pay for this out of budgets</t>
        </r>
      </text>
    </comment>
  </commentList>
</comments>
</file>

<file path=xl/sharedStrings.xml><?xml version="1.0" encoding="utf-8"?>
<sst xmlns="http://schemas.openxmlformats.org/spreadsheetml/2006/main" count="766" uniqueCount="382">
  <si>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</si>
  <si>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</si>
  <si>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</si>
  <si>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</si>
  <si>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</si>
  <si>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</si>
  <si>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</si>
  <si>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</si>
  <si>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</si>
  <si>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</si>
  <si>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</si>
  <si>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</si>
  <si>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</si>
  <si>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</si>
  <si>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</si>
  <si>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</si>
  <si>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</si>
  <si>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</si>
  <si>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</si>
  <si>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</si>
  <si>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</si>
  <si>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</si>
  <si>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</si>
  <si>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</si>
  <si>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</si>
  <si>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</si>
  <si>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</si>
  <si>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</si>
  <si>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</si>
  <si>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</si>
  <si>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</si>
  <si>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</si>
  <si>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</si>
  <si>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</si>
  <si>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</si>
  <si>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</si>
  <si>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</si>
  <si>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</si>
  <si>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</si>
  <si>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</si>
  <si>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</si>
  <si>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</si>
  <si>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</si>
  <si>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</si>
  <si>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</si>
  <si>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</si>
  <si>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</si>
  <si>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</si>
  <si>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</si>
  <si>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</si>
  <si>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</si>
  <si>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</si>
  <si>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</si>
  <si>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</si>
  <si>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</si>
  <si>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</si>
  <si>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</si>
  <si>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</si>
  <si>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</si>
  <si>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</si>
  <si>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</si>
  <si>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</si>
  <si>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</si>
  <si>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</si>
  <si>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</si>
  <si>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</si>
  <si>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</si>
  <si>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</si>
  <si>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</si>
  <si>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</si>
  <si>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</si>
  <si>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</si>
  <si>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</si>
  <si>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</si>
  <si>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</si>
  <si>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</si>
  <si>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</si>
  <si>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</si>
  <si>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</si>
  <si>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</si>
  <si>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r>
      <t xml:space="preserve">Workings / assumptions used for costing </t>
    </r>
    <r>
      <rPr>
        <b/>
        <sz val="14"/>
        <color rgb="FF0070C0"/>
        <rFont val="Calibri"/>
        <family val="2"/>
        <scheme val="minor"/>
      </rPr>
      <t>option 1</t>
    </r>
  </si>
  <si>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</si>
  <si>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</si>
  <si>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</si>
  <si>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</si>
  <si>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</si>
  <si>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</si>
  <si>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</si>
  <si>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</si>
  <si>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</si>
  <si>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</si>
  <si>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</si>
  <si>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</si>
  <si>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</si>
  <si>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</si>
  <si>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</si>
  <si>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</si>
  <si>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</si>
  <si>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</si>
  <si>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</si>
  <si>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</si>
  <si>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</si>
  <si>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</si>
  <si>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</si>
  <si>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</si>
  <si>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</si>
  <si>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</si>
  <si>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</si>
  <si>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</si>
  <si>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</si>
  <si>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</si>
  <si>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</si>
  <si>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</si>
  <si>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</si>
  <si>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</si>
  <si>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</si>
  <si>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</si>
  <si>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</si>
  <si>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</si>
  <si>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</si>
  <si>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</si>
  <si>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</si>
  <si>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</si>
  <si>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</si>
  <si>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</si>
  <si>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</si>
  <si>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</si>
  <si>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</si>
  <si>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</si>
  <si>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</si>
  <si>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</si>
  <si>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</si>
  <si>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</si>
  <si>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</si>
  <si>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</si>
  <si>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</si>
  <si>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</si>
  <si>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</si>
  <si>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</si>
  <si>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</si>
  <si>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</si>
  <si>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</si>
  <si>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</si>
  <si>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</si>
  <si>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</si>
  <si>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</si>
  <si>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</si>
  <si>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</si>
  <si>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</si>
  <si>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</si>
  <si>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</si>
  <si>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</si>
  <si>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</si>
  <si>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</si>
  <si>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</si>
  <si>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</si>
  <si>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</si>
  <si>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</si>
  <si>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</si>
  <si>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</si>
  <si>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</si>
  <si>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</si>
  <si>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</si>
  <si>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</si>
  <si>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</si>
  <si>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</si>
  <si>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</si>
  <si>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</si>
  <si>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</si>
  <si>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</si>
  <si>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</si>
  <si>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</si>
  <si>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</si>
  <si>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</si>
  <si>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</si>
  <si>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</si>
  <si>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</si>
  <si>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</si>
  <si>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</si>
  <si>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</si>
  <si>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</si>
  <si>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</si>
  <si>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</si>
  <si>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</si>
  <si>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</si>
  <si>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</si>
  <si>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</si>
  <si>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</si>
  <si>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</si>
  <si>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</si>
  <si>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</si>
  <si>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</si>
  <si>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</si>
  <si>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</si>
  <si>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</si>
  <si>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</si>
  <si>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</si>
  <si>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</si>
  <si>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</si>
  <si>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</si>
  <si>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</si>
  <si>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</si>
  <si>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</si>
  <si>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</si>
  <si>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</si>
  <si>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</si>
  <si>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</si>
  <si>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</si>
  <si>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</si>
  <si>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</si>
  <si>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</si>
  <si>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</si>
  <si>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</si>
  <si>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</si>
  <si>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</si>
  <si>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</si>
  <si>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</si>
  <si>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</si>
  <si>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</si>
  <si>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</si>
  <si>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</si>
  <si>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</si>
  <si>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</si>
  <si>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</si>
  <si>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</si>
  <si>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</si>
  <si>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</si>
  <si>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</si>
  <si>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</si>
  <si>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</si>
  <si>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</si>
  <si>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</si>
  <si>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</si>
  <si>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</si>
  <si>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</si>
  <si>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</si>
  <si>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</si>
  <si>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</si>
  <si>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</si>
  <si>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</si>
  <si>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</si>
  <si>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</si>
  <si>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</si>
  <si>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</si>
  <si>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</si>
  <si>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</si>
  <si>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</si>
  <si>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</si>
  <si>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</si>
  <si>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</si>
  <si>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</si>
  <si>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</si>
  <si>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</si>
  <si>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</si>
  <si>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</si>
  <si>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</si>
  <si>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</si>
  <si>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</si>
  <si>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</si>
  <si>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</si>
  <si>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</si>
  <si>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</si>
  <si>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</si>
  <si>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</si>
  <si>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</si>
  <si>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</si>
  <si>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</si>
  <si>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</si>
  <si>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</si>
  <si>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</si>
  <si>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</si>
  <si>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</si>
  <si>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</si>
  <si>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</si>
  <si>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</si>
  <si>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</si>
  <si>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</si>
  <si>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</si>
  <si>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</si>
  <si>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</si>
  <si>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</si>
  <si>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</si>
  <si>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</si>
  <si>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</si>
  <si>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</si>
  <si>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</si>
  <si>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</si>
  <si>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</si>
  <si>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</si>
  <si>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</si>
  <si>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</si>
  <si>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</si>
  <si>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</si>
  <si>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</si>
  <si>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</si>
  <si>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</si>
  <si>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</si>
  <si>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</si>
  <si>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</si>
  <si>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</si>
  <si>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</si>
  <si>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</si>
  <si>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</si>
  <si>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</si>
  <si>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</si>
  <si>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</si>
  <si>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</si>
  <si>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</si>
  <si>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</si>
  <si>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</si>
  <si>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</si>
  <si>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</si>
  <si>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</si>
  <si>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</si>
  <si>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</si>
  <si>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</si>
  <si>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</si>
  <si>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</si>
  <si>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</si>
  <si>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</si>
  <si>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</si>
  <si>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</si>
  <si>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</si>
  <si>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</si>
  <si>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</si>
  <si>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</si>
  <si>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</si>
  <si>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</si>
  <si>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</si>
  <si>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</si>
  <si>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</si>
  <si>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</si>
  <si>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</si>
  <si>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</si>
  <si>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</si>
  <si>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</si>
  <si>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</si>
  <si>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</si>
  <si>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</si>
  <si>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</si>
  <si>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</si>
  <si>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</si>
  <si>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</si>
  <si>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</si>
  <si>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</si>
  <si>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t>Option 1 (Baseline)</t>
  </si>
  <si>
    <t>Option 2</t>
  </si>
  <si>
    <t>Do Nothing Scenario.  Normal fault location occurrs</t>
  </si>
  <si>
    <t>LV automation team locates faults using Bidoyng technology</t>
  </si>
  <si>
    <t>Costs involved for the LV automation team e.g. Kelvatec contract cost, additional staff costs</t>
  </si>
  <si>
    <t>Total # of CI's</t>
  </si>
  <si>
    <t>Total # of CML's</t>
  </si>
  <si>
    <t>BD3 Calculated Data</t>
  </si>
  <si>
    <t>BD1 Calculated Data</t>
  </si>
  <si>
    <t>Bidoyng Costs</t>
  </si>
  <si>
    <t>Note</t>
  </si>
  <si>
    <t>Total Bidoyng Contract Spend</t>
  </si>
  <si>
    <t>Normal Fault Location Activities</t>
  </si>
  <si>
    <t>Bidoyng Fault Location</t>
  </si>
  <si>
    <t>Bidoyng Incentive Spend 15/16</t>
  </si>
  <si>
    <t>Total Bidoyng Spend 15/16</t>
  </si>
  <si>
    <t>15/16</t>
  </si>
  <si>
    <t>16/17</t>
  </si>
  <si>
    <t>17/18</t>
  </si>
  <si>
    <t>*Bidoyng Data.  Acquired from LV automation team (BD1, BD2 &amp; BD3 Spreadsheets). Original data can be supplied if required</t>
  </si>
  <si>
    <t>BD2 Calculated data</t>
  </si>
  <si>
    <t>BD1, BD2 &amp; BD3 Totals</t>
  </si>
  <si>
    <t>Total CI Cost (Avoided)</t>
  </si>
  <si>
    <t>Total CML Cost (Avoided)</t>
  </si>
  <si>
    <t>Total Cost (Avoided)</t>
  </si>
  <si>
    <t>Total Cost of CI's (Avoided)</t>
  </si>
  <si>
    <t>Total Cost of CML's (Avoided)</t>
  </si>
  <si>
    <t>Additional Costs (Avoided)</t>
  </si>
  <si>
    <t>Total Costs (Avoided)</t>
  </si>
  <si>
    <r>
      <rPr>
        <b/>
        <sz val="10"/>
        <color theme="1"/>
        <rFont val="Gill Sans MT"/>
        <family val="2"/>
      </rPr>
      <t xml:space="preserve">Bidoyng: </t>
    </r>
    <r>
      <rPr>
        <sz val="10"/>
        <color theme="1"/>
        <rFont val="Gill Sans MT"/>
        <family val="2"/>
      </rPr>
      <t>Primary driver is to reduce number and duration of outages at the LV level.</t>
    </r>
  </si>
  <si>
    <t>Actual contract spend specifically for the Bidoyng project is £1.9m per annum.   However, full payment in first year of contract is £2.745m.  This is due to the nature of the contract, payment is higher in first year, but is lower in subsequent years.  Also, the contract includes fault master revap equipment that is used by depots for 'thumping' fault identification purposes.  This equipment is used by SSEPD, but is not attributed to the Bidoyng project.  Although these costs are not attributed to the Bidoyng project, for reporting purposes the full cost of the contract in 2015/16 has been mentioned i.e. 2.745m as these costs may not be reported elsewhere.</t>
  </si>
  <si>
    <t>18/19</t>
  </si>
  <si>
    <t>BD1 Duplicate Removal</t>
  </si>
  <si>
    <t>19/20</t>
  </si>
  <si>
    <t>Benefit:</t>
  </si>
  <si>
    <t>2020/21</t>
  </si>
  <si>
    <t>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</si>
</sst>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quot;£&quot;#,##0.000"/>
    <numFmt numFmtId="176" formatCode="&quot;£&quot;#,##0.0000"/>
    <numFmt numFmtId="177" formatCode="&quot;£&quot;#,##0.00000;[Red]\-&quot;£&quot;#,##0.00000"/>
    <numFmt numFmtId="178" formatCode="&quot;£&quot;#,##0.0000000"/>
  </numFmts>
  <fonts count="43"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11"/>
      <color theme="1"/>
      <name val="Arial"/>
      <family val="2"/>
    </font>
    <font>
      <sz val="11"/>
      <color rgb="FF000000"/>
      <name val="Calibri"/>
      <family val="2"/>
      <scheme val="minor"/>
    </font>
    <font>
      <sz val="11"/>
      <color rgb="FFFF0000"/>
      <name val="Calibri"/>
      <family val="2"/>
      <scheme val="minor"/>
    </font>
    <font>
      <sz val="9"/>
      <color indexed="81"/>
      <name val="Tahoma"/>
      <family val="2"/>
    </font>
    <font>
      <b/>
      <sz val="9"/>
      <color indexed="81"/>
      <name val="Tahoma"/>
      <family val="2"/>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31">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s>
  <cellStyleXfs count="10">
    <xf numFmtId="0" fontId="0" fillId="0" borderId="0"/>
    <xf numFmtId="9" fontId="3"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14" fillId="0" borderId="0" applyNumberFormat="0" applyFill="0" applyBorder="0" applyAlignment="0" applyProtection="0">
      <alignment vertical="top"/>
      <protection locked="0"/>
    </xf>
    <xf numFmtId="43" fontId="3" fillId="0" borderId="0" applyFont="0" applyFill="0" applyBorder="0" applyAlignment="0" applyProtection="0"/>
    <xf numFmtId="44" fontId="3" fillId="0" borderId="0" applyFont="0" applyFill="0" applyBorder="0" applyAlignment="0" applyProtection="0"/>
    <xf numFmtId="0" fontId="38" fillId="0" borderId="0"/>
  </cellStyleXfs>
  <cellXfs count="240">
    <xf numFmtId="0" fontId="0" fillId="0" borderId="0" xfId="0"/>
    <xf numFmtId="0" fontId="5" fillId="0" borderId="0" xfId="0" applyFont="1"/>
    <xf numFmtId="0" fontId="6" fillId="0" borderId="0" xfId="0" applyFont="1"/>
    <xf numFmtId="0" fontId="7" fillId="5" borderId="0" xfId="0" applyFont="1" applyFill="1" applyProtection="1">
      <protection locked="0"/>
    </xf>
    <xf numFmtId="0" fontId="6" fillId="0" borderId="0" xfId="0" applyFont="1" applyProtection="1"/>
    <xf numFmtId="0" fontId="7" fillId="4" borderId="7" xfId="0" applyFont="1" applyFill="1" applyBorder="1" applyAlignment="1" applyProtection="1">
      <alignment horizontal="centerContinuous"/>
    </xf>
    <xf numFmtId="0" fontId="7" fillId="4" borderId="8" xfId="0" applyFont="1" applyFill="1" applyBorder="1" applyAlignment="1" applyProtection="1">
      <alignment horizontal="centerContinuous"/>
    </xf>
    <xf numFmtId="0" fontId="7" fillId="4" borderId="9" xfId="0" applyFont="1" applyFill="1" applyBorder="1" applyAlignment="1" applyProtection="1">
      <alignment horizontal="centerContinuous"/>
    </xf>
    <xf numFmtId="0" fontId="6" fillId="0" borderId="0" xfId="0" quotePrefix="1" applyFont="1" applyBorder="1" applyProtection="1"/>
    <xf numFmtId="0" fontId="6" fillId="0" borderId="0" xfId="0" applyFont="1" applyBorder="1" applyProtection="1"/>
    <xf numFmtId="164" fontId="6" fillId="5" borderId="0" xfId="1" applyNumberFormat="1" applyFont="1" applyFill="1" applyBorder="1" applyProtection="1"/>
    <xf numFmtId="0" fontId="6" fillId="0" borderId="0" xfId="0" applyFont="1" applyFill="1" applyBorder="1" applyProtection="1"/>
    <xf numFmtId="0" fontId="7" fillId="0" borderId="6" xfId="0" applyFont="1" applyBorder="1" applyProtection="1"/>
    <xf numFmtId="0" fontId="7" fillId="0" borderId="6" xfId="0" applyFont="1" applyFill="1" applyBorder="1" applyProtection="1"/>
    <xf numFmtId="0" fontId="7" fillId="0" borderId="0" xfId="0" applyFont="1" applyFill="1" applyBorder="1" applyProtection="1"/>
    <xf numFmtId="0" fontId="7" fillId="0" borderId="0" xfId="0" applyFont="1" applyProtection="1"/>
    <xf numFmtId="0" fontId="6" fillId="0" borderId="0" xfId="0" applyFont="1" applyBorder="1" applyAlignment="1" applyProtection="1">
      <alignment horizontal="right"/>
    </xf>
    <xf numFmtId="0" fontId="10" fillId="0" borderId="0" xfId="0" applyFont="1" applyProtection="1"/>
    <xf numFmtId="0" fontId="7" fillId="0" borderId="0" xfId="0" applyFont="1" applyBorder="1" applyProtection="1"/>
    <xf numFmtId="0" fontId="0" fillId="0" borderId="0" xfId="0" quotePrefix="1"/>
    <xf numFmtId="0" fontId="6" fillId="7" borderId="0" xfId="0" applyFont="1" applyFill="1"/>
    <xf numFmtId="0" fontId="6" fillId="0" borderId="0" xfId="0" applyFont="1" applyFill="1"/>
    <xf numFmtId="0" fontId="6" fillId="0" borderId="0" xfId="0" applyFont="1" applyFill="1" applyProtection="1"/>
    <xf numFmtId="164" fontId="6" fillId="2" borderId="3" xfId="0" applyNumberFormat="1" applyFont="1" applyFill="1" applyBorder="1" applyProtection="1"/>
    <xf numFmtId="3" fontId="6" fillId="2" borderId="3" xfId="0" applyNumberFormat="1" applyFont="1" applyFill="1" applyBorder="1" applyProtection="1"/>
    <xf numFmtId="0" fontId="7" fillId="0" borderId="0" xfId="0" applyFont="1"/>
    <xf numFmtId="0" fontId="12" fillId="0" borderId="0" xfId="0" applyFont="1"/>
    <xf numFmtId="0" fontId="6" fillId="0" borderId="0" xfId="0" applyFont="1" applyBorder="1" applyAlignment="1">
      <alignment horizontal="left" vertical="top" wrapText="1"/>
    </xf>
    <xf numFmtId="0" fontId="6" fillId="0" borderId="0" xfId="0" applyFont="1" applyBorder="1" applyAlignment="1">
      <alignment horizontal="left"/>
    </xf>
    <xf numFmtId="0" fontId="6" fillId="0" borderId="0" xfId="0" applyFont="1" applyBorder="1" applyAlignment="1">
      <alignment horizontal="center" vertical="top" wrapText="1"/>
    </xf>
    <xf numFmtId="0" fontId="6" fillId="0" borderId="3" xfId="0" applyFont="1" applyBorder="1" applyAlignment="1">
      <alignment vertical="top"/>
    </xf>
    <xf numFmtId="0" fontId="6" fillId="0" borderId="3" xfId="0" applyFont="1" applyBorder="1" applyAlignment="1">
      <alignment vertical="top" wrapText="1"/>
    </xf>
    <xf numFmtId="0" fontId="11" fillId="0" borderId="0" xfId="0" applyFont="1" applyFill="1"/>
    <xf numFmtId="164" fontId="6" fillId="5" borderId="3" xfId="1" applyNumberFormat="1" applyFont="1" applyFill="1" applyBorder="1" applyProtection="1">
      <protection locked="0"/>
    </xf>
    <xf numFmtId="165" fontId="6" fillId="5" borderId="0" xfId="0" applyNumberFormat="1" applyFont="1" applyFill="1" applyBorder="1" applyProtection="1">
      <protection locked="0"/>
    </xf>
    <xf numFmtId="165" fontId="6" fillId="0" borderId="0" xfId="0" applyNumberFormat="1" applyFont="1" applyFill="1" applyBorder="1" applyProtection="1">
      <protection locked="0"/>
    </xf>
    <xf numFmtId="10" fontId="6" fillId="5" borderId="0" xfId="1" applyNumberFormat="1" applyFont="1" applyFill="1" applyBorder="1" applyProtection="1">
      <protection locked="0"/>
    </xf>
    <xf numFmtId="0" fontId="13" fillId="0" borderId="0" xfId="0" applyFont="1" applyProtection="1"/>
    <xf numFmtId="3" fontId="6" fillId="5" borderId="0" xfId="1" applyNumberFormat="1" applyFont="1" applyFill="1" applyBorder="1" applyProtection="1">
      <protection locked="0"/>
    </xf>
    <xf numFmtId="0" fontId="16" fillId="0" borderId="0" xfId="0" applyFont="1" applyProtection="1"/>
    <xf numFmtId="1" fontId="16" fillId="0" borderId="0" xfId="0" applyNumberFormat="1" applyFont="1" applyProtection="1"/>
    <xf numFmtId="0" fontId="6" fillId="0" borderId="0" xfId="0" quotePrefix="1" applyFont="1" applyProtection="1"/>
    <xf numFmtId="0" fontId="19" fillId="2" borderId="20" xfId="4" applyFont="1" applyFill="1" applyBorder="1" applyAlignment="1">
      <alignment horizontal="center"/>
    </xf>
    <xf numFmtId="0" fontId="19" fillId="2" borderId="3" xfId="4" applyFont="1" applyFill="1" applyBorder="1" applyAlignment="1">
      <alignment horizontal="center"/>
    </xf>
    <xf numFmtId="167" fontId="6" fillId="5" borderId="0" xfId="0" applyNumberFormat="1" applyFont="1" applyFill="1" applyBorder="1" applyProtection="1">
      <protection locked="0"/>
    </xf>
    <xf numFmtId="8" fontId="7" fillId="0" borderId="14" xfId="0" applyNumberFormat="1" applyFont="1" applyBorder="1" applyProtection="1"/>
    <xf numFmtId="0" fontId="7" fillId="0" borderId="10" xfId="0" applyFont="1" applyBorder="1" applyAlignment="1" applyProtection="1">
      <alignment horizontal="center" wrapText="1"/>
    </xf>
    <xf numFmtId="0" fontId="7" fillId="0" borderId="13" xfId="0" applyFont="1" applyBorder="1" applyAlignment="1" applyProtection="1">
      <alignment horizontal="center" wrapText="1"/>
    </xf>
    <xf numFmtId="3" fontId="7" fillId="2" borderId="11" xfId="0" applyNumberFormat="1" applyFont="1" applyFill="1" applyBorder="1" applyAlignment="1" applyProtection="1">
      <alignment horizontal="center"/>
    </xf>
    <xf numFmtId="3" fontId="7" fillId="0" borderId="11" xfId="0" applyNumberFormat="1" applyFont="1" applyFill="1" applyBorder="1" applyAlignment="1" applyProtection="1">
      <alignment horizontal="center"/>
    </xf>
    <xf numFmtId="166" fontId="6" fillId="5" borderId="3" xfId="0" applyNumberFormat="1" applyFont="1" applyFill="1" applyBorder="1" applyProtection="1">
      <protection locked="0"/>
    </xf>
    <xf numFmtId="0" fontId="18" fillId="0" borderId="0" xfId="0" applyFont="1" applyProtection="1"/>
    <xf numFmtId="0" fontId="21" fillId="0" borderId="0" xfId="0" quotePrefix="1" applyFont="1"/>
    <xf numFmtId="165" fontId="7" fillId="3" borderId="6" xfId="0" applyNumberFormat="1" applyFont="1" applyFill="1" applyBorder="1" applyProtection="1">
      <protection locked="0"/>
    </xf>
    <xf numFmtId="165" fontId="7" fillId="2" borderId="0" xfId="0" applyNumberFormat="1" applyFont="1" applyFill="1" applyProtection="1"/>
    <xf numFmtId="165" fontId="6" fillId="0" borderId="0" xfId="0" applyNumberFormat="1" applyFont="1" applyProtection="1"/>
    <xf numFmtId="165" fontId="7" fillId="0" borderId="1" xfId="0" applyNumberFormat="1" applyFont="1" applyBorder="1" applyProtection="1"/>
    <xf numFmtId="0" fontId="6" fillId="0" borderId="6" xfId="0" applyFont="1" applyBorder="1" applyProtection="1"/>
    <xf numFmtId="0" fontId="6" fillId="0" borderId="6" xfId="0" quotePrefix="1" applyFont="1" applyBorder="1" applyProtection="1"/>
    <xf numFmtId="165" fontId="6" fillId="3" borderId="6" xfId="0" applyNumberFormat="1" applyFont="1" applyFill="1" applyBorder="1" applyProtection="1">
      <protection locked="0"/>
    </xf>
    <xf numFmtId="0" fontId="6" fillId="0" borderId="0" xfId="0" quotePrefix="1" applyFont="1" applyBorder="1" applyAlignment="1" applyProtection="1">
      <alignment vertical="center"/>
    </xf>
    <xf numFmtId="0" fontId="6" fillId="0" borderId="0" xfId="0" applyFont="1" applyBorder="1" applyAlignment="1" applyProtection="1">
      <alignment vertical="center"/>
    </xf>
    <xf numFmtId="165" fontId="6" fillId="5" borderId="0" xfId="0" applyNumberFormat="1" applyFont="1" applyFill="1" applyBorder="1" applyAlignment="1" applyProtection="1">
      <alignment vertical="center"/>
      <protection locked="0"/>
    </xf>
    <xf numFmtId="168" fontId="6" fillId="0" borderId="0" xfId="8" applyNumberFormat="1" applyFont="1" applyBorder="1" applyProtection="1"/>
    <xf numFmtId="0" fontId="6" fillId="6" borderId="3" xfId="0" applyFont="1" applyFill="1" applyBorder="1" applyAlignment="1">
      <alignment horizontal="center"/>
    </xf>
    <xf numFmtId="8" fontId="6" fillId="0" borderId="3" xfId="0" applyNumberFormat="1" applyFont="1" applyBorder="1" applyAlignment="1">
      <alignment horizontal="center" vertical="top"/>
    </xf>
    <xf numFmtId="8" fontId="6" fillId="0" borderId="3" xfId="0" applyNumberFormat="1" applyFont="1" applyBorder="1" applyAlignment="1">
      <alignment horizontal="left" vertical="top"/>
    </xf>
    <xf numFmtId="0" fontId="23" fillId="0" borderId="0" xfId="0" applyFont="1" applyProtection="1"/>
    <xf numFmtId="165" fontId="6" fillId="3" borderId="0" xfId="0" applyNumberFormat="1" applyFont="1" applyFill="1" applyBorder="1" applyProtection="1">
      <protection locked="0"/>
    </xf>
    <xf numFmtId="3" fontId="6" fillId="5" borderId="0" xfId="0" applyNumberFormat="1" applyFont="1" applyFill="1" applyProtection="1"/>
    <xf numFmtId="0" fontId="15" fillId="0" borderId="0" xfId="6" applyFont="1" applyAlignment="1" applyProtection="1">
      <alignment vertical="top"/>
    </xf>
    <xf numFmtId="0" fontId="15" fillId="8" borderId="0" xfId="6" applyFont="1" applyFill="1" applyAlignment="1" applyProtection="1">
      <alignment vertical="top"/>
    </xf>
    <xf numFmtId="0" fontId="6" fillId="8" borderId="0" xfId="0" applyFont="1" applyFill="1"/>
    <xf numFmtId="2" fontId="6" fillId="7" borderId="0" xfId="0" applyNumberFormat="1" applyFont="1" applyFill="1"/>
    <xf numFmtId="1" fontId="6" fillId="7" borderId="0" xfId="0" applyNumberFormat="1" applyFont="1" applyFill="1"/>
    <xf numFmtId="0" fontId="24" fillId="0" borderId="0" xfId="0" applyFont="1" applyProtection="1"/>
    <xf numFmtId="0" fontId="25" fillId="0" borderId="0" xfId="0" applyFont="1" applyProtection="1"/>
    <xf numFmtId="0" fontId="16" fillId="0" borderId="0" xfId="0" applyFont="1" applyAlignment="1" applyProtection="1">
      <alignment horizontal="left"/>
    </xf>
    <xf numFmtId="2" fontId="6" fillId="2" borderId="3" xfId="0" applyNumberFormat="1" applyFont="1" applyFill="1" applyBorder="1" applyProtection="1"/>
    <xf numFmtId="0" fontId="25" fillId="0" borderId="0" xfId="0" applyFont="1" applyAlignment="1" applyProtection="1">
      <alignment horizontal="left" vertical="top"/>
    </xf>
    <xf numFmtId="0" fontId="10" fillId="0" borderId="0" xfId="0" applyFont="1" applyFill="1" applyProtection="1"/>
    <xf numFmtId="170" fontId="6" fillId="5" borderId="3" xfId="0" applyNumberFormat="1" applyFont="1" applyFill="1" applyBorder="1" applyProtection="1">
      <protection locked="0"/>
    </xf>
    <xf numFmtId="165" fontId="6" fillId="0" borderId="0" xfId="0" applyNumberFormat="1" applyFont="1" applyFill="1" applyBorder="1" applyAlignment="1" applyProtection="1">
      <alignment horizontal="right"/>
      <protection locked="0"/>
    </xf>
    <xf numFmtId="0" fontId="6" fillId="0" borderId="0" xfId="0" applyFont="1" applyFill="1" applyAlignment="1">
      <alignment vertical="top"/>
    </xf>
    <xf numFmtId="0" fontId="7" fillId="0" borderId="0" xfId="0" applyFont="1" applyFill="1"/>
    <xf numFmtId="0" fontId="6" fillId="0" borderId="0" xfId="0" applyFont="1" applyFill="1" applyBorder="1" applyAlignment="1" applyProtection="1">
      <alignment horizontal="left"/>
    </xf>
    <xf numFmtId="0" fontId="9" fillId="0" borderId="0" xfId="0" applyFont="1" applyProtection="1"/>
    <xf numFmtId="43" fontId="6" fillId="0" borderId="0" xfId="7" applyFont="1" applyBorder="1" applyProtection="1"/>
    <xf numFmtId="165" fontId="6" fillId="3" borderId="3" xfId="0" applyNumberFormat="1" applyFont="1" applyFill="1" applyBorder="1" applyAlignment="1" applyProtection="1">
      <alignment horizontal="left"/>
      <protection locked="0"/>
    </xf>
    <xf numFmtId="0" fontId="7" fillId="6" borderId="3" xfId="0" applyFont="1" applyFill="1" applyBorder="1"/>
    <xf numFmtId="0" fontId="6" fillId="0" borderId="0" xfId="0" applyFont="1" applyAlignment="1"/>
    <xf numFmtId="0" fontId="6" fillId="0" borderId="0" xfId="0" applyFont="1" applyAlignment="1">
      <alignment vertical="top"/>
    </xf>
    <xf numFmtId="0" fontId="16" fillId="0" borderId="0" xfId="0" applyFont="1"/>
    <xf numFmtId="165" fontId="6" fillId="5" borderId="3" xfId="0" applyNumberFormat="1" applyFont="1" applyFill="1" applyBorder="1" applyAlignment="1" applyProtection="1">
      <alignment horizontal="left"/>
      <protection locked="0"/>
    </xf>
    <xf numFmtId="3" fontId="6" fillId="2" borderId="3" xfId="0" applyNumberFormat="1" applyFont="1" applyFill="1" applyBorder="1" applyAlignment="1" applyProtection="1">
      <alignment horizontal="left"/>
    </xf>
    <xf numFmtId="0" fontId="6" fillId="0" borderId="3" xfId="0" applyFont="1" applyBorder="1" applyAlignment="1">
      <alignment horizontal="left"/>
    </xf>
    <xf numFmtId="0" fontId="7" fillId="0" borderId="3" xfId="0" applyFont="1" applyBorder="1" applyAlignment="1">
      <alignment vertical="top"/>
    </xf>
    <xf numFmtId="0" fontId="7" fillId="0" borderId="3" xfId="0" applyFont="1" applyBorder="1" applyAlignment="1">
      <alignment vertical="top" wrapText="1"/>
    </xf>
    <xf numFmtId="0" fontId="7" fillId="0" borderId="3" xfId="0" applyFont="1" applyBorder="1" applyAlignment="1">
      <alignment horizontal="left" vertical="top" wrapText="1"/>
    </xf>
    <xf numFmtId="0" fontId="11" fillId="0" borderId="0" xfId="0" applyFont="1"/>
    <xf numFmtId="0" fontId="0" fillId="0" borderId="0" xfId="0" applyAlignment="1">
      <alignment vertical="top" wrapText="1"/>
    </xf>
    <xf numFmtId="0" fontId="26"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7" fillId="7" borderId="0" xfId="0" applyFont="1" applyFill="1"/>
    <xf numFmtId="0" fontId="6" fillId="7" borderId="0" xfId="0" applyFont="1" applyFill="1" applyAlignment="1">
      <alignment horizontal="right"/>
    </xf>
    <xf numFmtId="172" fontId="6" fillId="5" borderId="3" xfId="7" applyNumberFormat="1" applyFont="1" applyFill="1" applyBorder="1" applyProtection="1">
      <protection locked="0"/>
    </xf>
    <xf numFmtId="169" fontId="6" fillId="0" borderId="1" xfId="7" applyNumberFormat="1" applyFont="1" applyFill="1" applyBorder="1" applyProtection="1">
      <protection locked="0"/>
    </xf>
    <xf numFmtId="0" fontId="28" fillId="0" borderId="0" xfId="0" applyFont="1" applyFill="1"/>
    <xf numFmtId="171" fontId="6" fillId="5" borderId="3" xfId="0" applyNumberFormat="1" applyFont="1" applyFill="1" applyBorder="1"/>
    <xf numFmtId="0" fontId="6" fillId="7" borderId="0" xfId="0" applyFont="1" applyFill="1" applyAlignment="1">
      <alignment horizontal="left"/>
    </xf>
    <xf numFmtId="0" fontId="24" fillId="0" borderId="12" xfId="0" applyFont="1" applyBorder="1" applyAlignment="1" applyProtection="1">
      <alignment horizontal="right"/>
    </xf>
    <xf numFmtId="0" fontId="24" fillId="0" borderId="2" xfId="0" applyFont="1" applyBorder="1" applyAlignment="1" applyProtection="1">
      <alignment vertical="center" textRotation="90"/>
    </xf>
    <xf numFmtId="0" fontId="24" fillId="0" borderId="5" xfId="0" applyFont="1" applyBorder="1" applyAlignment="1" applyProtection="1">
      <alignment vertical="center" textRotation="90"/>
    </xf>
    <xf numFmtId="0" fontId="24" fillId="9" borderId="0" xfId="0" applyFont="1" applyFill="1" applyBorder="1" applyProtection="1"/>
    <xf numFmtId="0" fontId="7" fillId="9" borderId="0" xfId="0" applyFont="1" applyFill="1" applyBorder="1" applyProtection="1"/>
    <xf numFmtId="0" fontId="6" fillId="9" borderId="0" xfId="0" applyFont="1" applyFill="1" applyBorder="1" applyProtection="1"/>
    <xf numFmtId="0" fontId="24" fillId="9" borderId="18" xfId="0" applyFont="1" applyFill="1" applyBorder="1" applyProtection="1"/>
    <xf numFmtId="0" fontId="29" fillId="9" borderId="18" xfId="0" applyFont="1" applyFill="1" applyBorder="1" applyProtection="1"/>
    <xf numFmtId="0" fontId="7" fillId="9" borderId="18" xfId="0" applyFont="1" applyFill="1" applyBorder="1" applyProtection="1"/>
    <xf numFmtId="0" fontId="6" fillId="9" borderId="18" xfId="0" applyFont="1" applyFill="1" applyBorder="1" applyProtection="1"/>
    <xf numFmtId="0" fontId="27" fillId="9" borderId="0" xfId="0" applyFont="1" applyFill="1" applyBorder="1" applyProtection="1"/>
    <xf numFmtId="0" fontId="6" fillId="0" borderId="24" xfId="0" applyFont="1" applyBorder="1" applyAlignment="1" applyProtection="1">
      <alignment vertical="center"/>
    </xf>
    <xf numFmtId="0" fontId="6" fillId="0" borderId="6" xfId="0" applyFont="1" applyBorder="1" applyAlignment="1" applyProtection="1">
      <alignment vertical="center"/>
    </xf>
    <xf numFmtId="173" fontId="18" fillId="2" borderId="3" xfId="4" applyNumberFormat="1" applyFont="1" applyFill="1" applyBorder="1" applyAlignment="1">
      <alignment horizontal="right"/>
    </xf>
    <xf numFmtId="0" fontId="18" fillId="2" borderId="3" xfId="4" applyFont="1" applyFill="1" applyBorder="1" applyAlignment="1"/>
    <xf numFmtId="0" fontId="6" fillId="0" borderId="0" xfId="0" applyFont="1" applyAlignment="1" applyProtection="1">
      <alignment horizontal="right"/>
    </xf>
    <xf numFmtId="0" fontId="6"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6" fillId="5" borderId="25" xfId="0" applyNumberFormat="1" applyFont="1" applyFill="1" applyBorder="1" applyAlignment="1" applyProtection="1">
      <alignment horizontal="center"/>
      <protection locked="0"/>
    </xf>
    <xf numFmtId="0" fontId="0" fillId="0" borderId="0" xfId="0" applyAlignment="1">
      <alignment vertical="top"/>
    </xf>
    <xf numFmtId="0" fontId="38" fillId="0" borderId="10" xfId="9" applyFill="1" applyBorder="1" applyAlignment="1" applyProtection="1">
      <alignment horizontal="center" vertical="center"/>
      <protection locked="0"/>
    </xf>
    <xf numFmtId="0" fontId="38" fillId="0" borderId="11" xfId="9" applyFill="1" applyBorder="1" applyAlignment="1" applyProtection="1">
      <alignment horizontal="center" vertical="center"/>
      <protection locked="0"/>
    </xf>
    <xf numFmtId="0" fontId="0" fillId="0" borderId="10" xfId="0" applyBorder="1"/>
    <xf numFmtId="0" fontId="0" fillId="0" borderId="11" xfId="0" applyBorder="1"/>
    <xf numFmtId="0" fontId="0" fillId="0" borderId="12" xfId="0" applyBorder="1"/>
    <xf numFmtId="166" fontId="0" fillId="0" borderId="28" xfId="0" applyNumberFormat="1" applyBorder="1"/>
    <xf numFmtId="1" fontId="0" fillId="0" borderId="28" xfId="0" applyNumberFormat="1" applyBorder="1"/>
    <xf numFmtId="166" fontId="0" fillId="0" borderId="29" xfId="0" applyNumberFormat="1" applyBorder="1"/>
    <xf numFmtId="166" fontId="0" fillId="0" borderId="0" xfId="0" applyNumberFormat="1"/>
    <xf numFmtId="170" fontId="0" fillId="0" borderId="0" xfId="0" applyNumberFormat="1"/>
    <xf numFmtId="0" fontId="0" fillId="0" borderId="10" xfId="9" applyFont="1" applyFill="1" applyBorder="1" applyAlignment="1" applyProtection="1">
      <alignment horizontal="center" vertical="center"/>
      <protection locked="0"/>
    </xf>
    <xf numFmtId="0" fontId="0" fillId="0" borderId="28" xfId="0" applyBorder="1"/>
    <xf numFmtId="0" fontId="0" fillId="0" borderId="0" xfId="9" applyFont="1" applyFill="1" applyBorder="1" applyAlignment="1" applyProtection="1">
      <alignment horizontal="center" vertical="center"/>
      <protection locked="0"/>
    </xf>
    <xf numFmtId="2" fontId="3" fillId="0" borderId="0" xfId="0" applyNumberFormat="1" applyFont="1" applyBorder="1"/>
    <xf numFmtId="0" fontId="0" fillId="0" borderId="11" xfId="9" applyFont="1" applyFill="1" applyBorder="1" applyAlignment="1" applyProtection="1">
      <alignment horizontal="center" vertical="center"/>
      <protection locked="0"/>
    </xf>
    <xf numFmtId="0" fontId="0" fillId="0" borderId="12" xfId="0" applyFont="1" applyBorder="1" applyAlignment="1">
      <alignment horizontal="center"/>
    </xf>
    <xf numFmtId="8" fontId="3" fillId="0" borderId="6" xfId="0" applyNumberFormat="1" applyFont="1" applyBorder="1"/>
    <xf numFmtId="2" fontId="0" fillId="0" borderId="26" xfId="0" applyNumberFormat="1" applyBorder="1"/>
    <xf numFmtId="2" fontId="0" fillId="0" borderId="30" xfId="0" applyNumberFormat="1" applyBorder="1"/>
    <xf numFmtId="166" fontId="0" fillId="0" borderId="0" xfId="0" applyNumberFormat="1" applyBorder="1"/>
    <xf numFmtId="2" fontId="0" fillId="0" borderId="6" xfId="0" applyNumberFormat="1" applyBorder="1"/>
    <xf numFmtId="0" fontId="0" fillId="0" borderId="0" xfId="0" applyFill="1" applyBorder="1"/>
    <xf numFmtId="0" fontId="38" fillId="0" borderId="0" xfId="9" applyFill="1" applyBorder="1" applyAlignment="1" applyProtection="1">
      <alignment horizontal="center" vertical="center"/>
      <protection locked="0"/>
    </xf>
    <xf numFmtId="0" fontId="2" fillId="0" borderId="11" xfId="9" applyFont="1" applyFill="1" applyBorder="1" applyAlignment="1" applyProtection="1">
      <alignment horizontal="center" vertical="center"/>
      <protection locked="0"/>
    </xf>
    <xf numFmtId="0" fontId="2" fillId="0" borderId="12" xfId="9" applyFont="1" applyFill="1" applyBorder="1" applyAlignment="1" applyProtection="1">
      <alignment horizontal="center" vertical="center"/>
      <protection locked="0"/>
    </xf>
    <xf numFmtId="166" fontId="0" fillId="0" borderId="14" xfId="0" applyNumberFormat="1" applyBorder="1"/>
    <xf numFmtId="166" fontId="0" fillId="0" borderId="26" xfId="0" applyNumberFormat="1" applyBorder="1"/>
    <xf numFmtId="0" fontId="6" fillId="0" borderId="3" xfId="0" applyFont="1" applyFill="1" applyBorder="1" applyAlignment="1">
      <alignment vertical="top"/>
    </xf>
    <xf numFmtId="0" fontId="6" fillId="0" borderId="3" xfId="0" applyFont="1" applyFill="1" applyBorder="1" applyAlignment="1">
      <alignment vertical="top" wrapText="1"/>
    </xf>
    <xf numFmtId="8" fontId="6" fillId="0" borderId="3" xfId="0" applyNumberFormat="1" applyFont="1" applyFill="1" applyBorder="1" applyAlignment="1">
      <alignment horizontal="center" vertical="top"/>
    </xf>
    <xf numFmtId="8" fontId="0" fillId="0" borderId="0" xfId="0" applyNumberFormat="1"/>
    <xf numFmtId="6" fontId="3" fillId="0" borderId="0" xfId="9" applyNumberFormat="1" applyFont="1" applyFill="1" applyBorder="1" applyAlignment="1" applyProtection="1">
      <alignment horizontal="center" vertical="center"/>
      <protection locked="0"/>
    </xf>
    <xf numFmtId="166" fontId="0" fillId="0" borderId="30" xfId="0" applyNumberFormat="1" applyBorder="1"/>
    <xf numFmtId="6" fontId="3" fillId="0" borderId="6" xfId="0" applyNumberFormat="1" applyFont="1" applyBorder="1" applyAlignment="1">
      <alignment horizontal="center"/>
    </xf>
    <xf numFmtId="2" fontId="0" fillId="0" borderId="0" xfId="0" applyNumberFormat="1" applyBorder="1"/>
    <xf numFmtId="3" fontId="0" fillId="0" borderId="28" xfId="0" applyNumberFormat="1" applyBorder="1"/>
    <xf numFmtId="0" fontId="1" fillId="0" borderId="11" xfId="9" applyFont="1" applyFill="1" applyBorder="1" applyAlignment="1" applyProtection="1">
      <alignment horizontal="center" vertical="center"/>
      <protection locked="0"/>
    </xf>
    <xf numFmtId="175" fontId="0" fillId="0" borderId="0" xfId="0" applyNumberFormat="1"/>
    <xf numFmtId="166" fontId="40" fillId="0" borderId="28" xfId="0" applyNumberFormat="1" applyFont="1" applyBorder="1"/>
    <xf numFmtId="4" fontId="39" fillId="0" borderId="0" xfId="0" applyNumberFormat="1" applyFont="1" applyBorder="1"/>
    <xf numFmtId="4" fontId="39" fillId="0" borderId="30" xfId="0" applyNumberFormat="1" applyFont="1" applyBorder="1"/>
    <xf numFmtId="2" fontId="0" fillId="0" borderId="14" xfId="0" applyNumberFormat="1" applyFill="1" applyBorder="1"/>
    <xf numFmtId="2" fontId="0" fillId="0" borderId="13" xfId="0" applyNumberFormat="1" applyBorder="1"/>
    <xf numFmtId="0" fontId="0" fillId="0" borderId="0" xfId="0" applyAlignment="1">
      <alignment horizontal="right"/>
    </xf>
    <xf numFmtId="177" fontId="0" fillId="0" borderId="0" xfId="0" applyNumberFormat="1"/>
    <xf numFmtId="176" fontId="0" fillId="0" borderId="0" xfId="0" applyNumberFormat="1"/>
    <xf numFmtId="6" fontId="0" fillId="0" borderId="0" xfId="0" applyNumberFormat="1"/>
    <xf numFmtId="3" fontId="0" fillId="0" borderId="27" xfId="0" applyNumberFormat="1" applyBorder="1"/>
    <xf numFmtId="3" fontId="0" fillId="0" borderId="13" xfId="0" applyNumberFormat="1" applyBorder="1"/>
    <xf numFmtId="3" fontId="0" fillId="0" borderId="14" xfId="0" applyNumberFormat="1" applyBorder="1"/>
    <xf numFmtId="2" fontId="0" fillId="0" borderId="0" xfId="0" applyNumberFormat="1" applyFill="1" applyBorder="1"/>
    <xf numFmtId="178" fontId="0" fillId="0" borderId="0" xfId="0" applyNumberFormat="1"/>
    <xf numFmtId="0" fontId="6" fillId="0" borderId="0" xfId="0" applyFont="1" applyAlignment="1">
      <alignment horizontal="left" vertical="top" wrapText="1"/>
    </xf>
    <xf numFmtId="0" fontId="6" fillId="6" borderId="3" xfId="0" applyFont="1" applyFill="1" applyBorder="1" applyAlignment="1">
      <alignment horizontal="center" vertical="center"/>
    </xf>
    <xf numFmtId="0" fontId="7" fillId="6" borderId="21" xfId="0" applyFont="1" applyFill="1" applyBorder="1" applyAlignment="1">
      <alignment horizontal="left" vertical="top" wrapText="1"/>
    </xf>
    <xf numFmtId="0" fontId="7" fillId="6" borderId="20" xfId="0" applyFont="1" applyFill="1" applyBorder="1" applyAlignment="1">
      <alignment horizontal="left" vertical="top" wrapText="1"/>
    </xf>
    <xf numFmtId="0" fontId="7" fillId="6" borderId="21" xfId="0" applyFont="1" applyFill="1" applyBorder="1" applyAlignment="1">
      <alignment horizontal="left" vertical="top"/>
    </xf>
    <xf numFmtId="0" fontId="7" fillId="6" borderId="20" xfId="0" applyFont="1" applyFill="1" applyBorder="1" applyAlignment="1">
      <alignment horizontal="left" vertical="top"/>
    </xf>
    <xf numFmtId="0" fontId="6" fillId="0" borderId="7" xfId="0" applyFont="1" applyBorder="1" applyAlignment="1">
      <alignment horizontal="left"/>
    </xf>
    <xf numFmtId="0" fontId="6" fillId="0" borderId="9" xfId="0" applyFont="1" applyBorder="1" applyAlignment="1">
      <alignment horizontal="left"/>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7" xfId="0" applyFont="1" applyBorder="1" applyAlignment="1">
      <alignment horizontal="left" vertical="top"/>
    </xf>
    <xf numFmtId="0" fontId="6" fillId="0" borderId="9" xfId="0" applyFont="1" applyBorder="1" applyAlignment="1">
      <alignment horizontal="left" vertical="top"/>
    </xf>
    <xf numFmtId="0" fontId="6" fillId="0" borderId="3" xfId="0" applyFont="1" applyBorder="1" applyAlignment="1">
      <alignment horizontal="center" vertical="top" wrapText="1"/>
    </xf>
    <xf numFmtId="0" fontId="6" fillId="0" borderId="15" xfId="0" applyFont="1" applyBorder="1" applyAlignment="1">
      <alignment horizontal="left" vertical="top" wrapText="1"/>
    </xf>
    <xf numFmtId="0" fontId="6" fillId="0" borderId="1"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7" fillId="6" borderId="3" xfId="0" applyFont="1" applyFill="1" applyBorder="1" applyAlignment="1">
      <alignment horizontal="left" vertical="top"/>
    </xf>
    <xf numFmtId="0" fontId="6" fillId="0" borderId="3"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7" fillId="6" borderId="7" xfId="0" applyFont="1" applyFill="1" applyBorder="1" applyAlignment="1">
      <alignment horizontal="left" vertical="top"/>
    </xf>
    <xf numFmtId="0" fontId="7" fillId="6" borderId="9" xfId="0" applyFont="1" applyFill="1" applyBorder="1" applyAlignment="1">
      <alignment horizontal="left" vertical="top"/>
    </xf>
    <xf numFmtId="0" fontId="20" fillId="2" borderId="15" xfId="4" applyFont="1" applyFill="1" applyBorder="1" applyAlignment="1">
      <alignment horizontal="left" vertical="top"/>
    </xf>
    <xf numFmtId="0" fontId="20" fillId="2" borderId="16" xfId="4" applyFont="1" applyFill="1" applyBorder="1" applyAlignment="1">
      <alignment horizontal="left" vertical="top"/>
    </xf>
    <xf numFmtId="0" fontId="20" fillId="2" borderId="17" xfId="4" applyFont="1" applyFill="1" applyBorder="1" applyAlignment="1">
      <alignment horizontal="left" vertical="top"/>
    </xf>
    <xf numFmtId="0" fontId="20" fillId="2" borderId="19" xfId="4" applyFont="1" applyFill="1" applyBorder="1" applyAlignment="1">
      <alignment horizontal="left" vertical="top"/>
    </xf>
    <xf numFmtId="0" fontId="18" fillId="2" borderId="3" xfId="4" applyFont="1" applyFill="1" applyBorder="1" applyAlignment="1">
      <alignment horizontal="center" vertical="center" wrapText="1"/>
    </xf>
    <xf numFmtId="0" fontId="27" fillId="9" borderId="16" xfId="0" applyFont="1" applyFill="1" applyBorder="1" applyAlignment="1" applyProtection="1">
      <alignment horizontal="center" vertical="center" textRotation="90"/>
    </xf>
    <xf numFmtId="0" fontId="27" fillId="9" borderId="23" xfId="0" applyFont="1" applyFill="1" applyBorder="1" applyAlignment="1" applyProtection="1">
      <alignment horizontal="center" vertical="center" textRotation="90"/>
    </xf>
    <xf numFmtId="0" fontId="27" fillId="9" borderId="19" xfId="0" applyFont="1" applyFill="1" applyBorder="1" applyAlignment="1" applyProtection="1">
      <alignment horizontal="center" vertical="center" textRotation="90"/>
    </xf>
    <xf numFmtId="0" fontId="27" fillId="9" borderId="22" xfId="0" applyFont="1" applyFill="1" applyBorder="1" applyAlignment="1" applyProtection="1">
      <alignment horizontal="center" vertical="center" textRotation="90" wrapText="1"/>
    </xf>
    <xf numFmtId="0" fontId="27" fillId="9" borderId="20" xfId="0" applyFont="1" applyFill="1" applyBorder="1" applyAlignment="1" applyProtection="1">
      <alignment horizontal="center" vertical="center" textRotation="90" wrapText="1"/>
    </xf>
    <xf numFmtId="0" fontId="27" fillId="9" borderId="4" xfId="0" applyFont="1" applyFill="1" applyBorder="1" applyAlignment="1" applyProtection="1">
      <alignment horizontal="center" vertical="center" textRotation="90" wrapText="1"/>
    </xf>
    <xf numFmtId="0" fontId="27" fillId="9" borderId="5" xfId="0" applyFont="1" applyFill="1" applyBorder="1" applyAlignment="1" applyProtection="1">
      <alignment horizontal="center" vertical="center" textRotation="90" wrapText="1"/>
    </xf>
    <xf numFmtId="0" fontId="27" fillId="9" borderId="2" xfId="0" applyFont="1" applyFill="1" applyBorder="1" applyAlignment="1" applyProtection="1">
      <alignment horizontal="center" vertical="center" textRotation="90" wrapText="1"/>
    </xf>
    <xf numFmtId="0" fontId="24" fillId="9" borderId="5" xfId="0" applyFont="1" applyFill="1" applyBorder="1" applyAlignment="1" applyProtection="1">
      <alignment horizontal="center" vertical="center" textRotation="90" wrapText="1"/>
    </xf>
    <xf numFmtId="0" fontId="0" fillId="0" borderId="10" xfId="0" applyBorder="1" applyAlignment="1">
      <alignment horizontal="center" vertical="center" wrapText="1"/>
    </xf>
    <xf numFmtId="0" fontId="0" fillId="0" borderId="30"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0" fillId="0" borderId="26" xfId="0" applyBorder="1" applyAlignment="1">
      <alignment horizontal="center" vertical="center" wrapText="1"/>
    </xf>
    <xf numFmtId="166" fontId="0" fillId="0" borderId="29" xfId="0" applyNumberFormat="1" applyFill="1" applyBorder="1"/>
  </cellXfs>
  <cellStyles count="10">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Normal_Workings baseline" xfId="9" xr:uid="{00000000-0005-0000-0000-000008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229</v>
      </c>
      <c r="C2" s="101" t="s">
        <v>237</v>
      </c>
      <c r="D2" s="101" t="s">
        <v>236</v>
      </c>
      <c r="E2" s="101" t="s">
        <v>230</v>
      </c>
    </row>
    <row r="3" spans="1:5" s="100" customFormat="1" ht="62.25" customHeight="1" x14ac:dyDescent="0.25">
      <c r="B3" s="102" t="s">
        <v>231</v>
      </c>
      <c r="C3" s="102" t="s">
        <v>234</v>
      </c>
      <c r="D3" s="102"/>
      <c r="E3" s="103" t="s">
        <v>235</v>
      </c>
    </row>
    <row r="4" spans="1:5" s="100" customFormat="1" ht="62.25" customHeight="1" x14ac:dyDescent="0.25">
      <c r="B4" s="102" t="s">
        <v>232</v>
      </c>
      <c r="C4" s="102" t="s">
        <v>238</v>
      </c>
      <c r="D4" s="104">
        <v>41352</v>
      </c>
      <c r="E4" s="102" t="s">
        <v>239</v>
      </c>
    </row>
    <row r="5" spans="1:5" s="100" customFormat="1" ht="84" customHeight="1" x14ac:dyDescent="0.25">
      <c r="B5" s="102" t="s">
        <v>233</v>
      </c>
      <c r="C5" s="102" t="s">
        <v>244</v>
      </c>
      <c r="D5" s="104" t="s">
        <v>240</v>
      </c>
      <c r="E5" s="102" t="s">
        <v>241</v>
      </c>
    </row>
    <row r="6" spans="1:5" ht="111" customHeight="1" x14ac:dyDescent="0.25">
      <c r="A6" s="129"/>
      <c r="B6" s="130" t="s">
        <v>242</v>
      </c>
      <c r="C6" s="130" t="s">
        <v>243</v>
      </c>
      <c r="D6" s="131">
        <v>41380</v>
      </c>
      <c r="E6" s="130" t="s">
        <v>310</v>
      </c>
    </row>
    <row r="7" spans="1:5" ht="21.75" customHeight="1" x14ac:dyDescent="0.25">
      <c r="B7" s="133"/>
      <c r="C7" s="133"/>
      <c r="D7" s="134">
        <v>41393</v>
      </c>
      <c r="E7" s="133" t="s">
        <v>333</v>
      </c>
    </row>
    <row r="8" spans="1:5" ht="21.75" customHeight="1" x14ac:dyDescent="0.25">
      <c r="D8" s="134">
        <v>41649</v>
      </c>
      <c r="E8" s="136" t="s">
        <v>334</v>
      </c>
    </row>
    <row r="9" spans="1:5" ht="21.75" customHeight="1" x14ac:dyDescent="0.25">
      <c r="D9" s="134">
        <v>41649</v>
      </c>
      <c r="E9" s="133" t="s">
        <v>338</v>
      </c>
    </row>
    <row r="10" spans="1:5" ht="21.75" customHeight="1" x14ac:dyDescent="0.25">
      <c r="D10" s="134">
        <v>41649</v>
      </c>
      <c r="E10" s="133" t="s">
        <v>339</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96</v>
      </c>
    </row>
    <row r="6" spans="2:3" x14ac:dyDescent="0.3">
      <c r="B6" s="96" t="s">
        <v>218</v>
      </c>
      <c r="C6" s="31" t="s">
        <v>219</v>
      </c>
    </row>
    <row r="7" spans="2:3" ht="56.25" customHeight="1" x14ac:dyDescent="0.3">
      <c r="B7" s="97" t="s">
        <v>301</v>
      </c>
      <c r="C7" s="31" t="s">
        <v>332</v>
      </c>
    </row>
    <row r="8" spans="2:3" x14ac:dyDescent="0.3">
      <c r="B8" s="98" t="s">
        <v>302</v>
      </c>
      <c r="C8" s="31" t="s">
        <v>303</v>
      </c>
    </row>
    <row r="9" spans="2:3" ht="30" x14ac:dyDescent="0.3">
      <c r="B9" s="97" t="s">
        <v>225</v>
      </c>
      <c r="C9" s="31" t="s">
        <v>331</v>
      </c>
    </row>
    <row r="10" spans="2:3" x14ac:dyDescent="0.3">
      <c r="B10" s="98" t="s">
        <v>216</v>
      </c>
      <c r="C10" s="31" t="s">
        <v>217</v>
      </c>
    </row>
    <row r="12" spans="2:3" x14ac:dyDescent="0.3">
      <c r="B12" s="25" t="s">
        <v>24</v>
      </c>
    </row>
    <row r="13" spans="2:3" x14ac:dyDescent="0.3">
      <c r="B13" s="93" t="s">
        <v>25</v>
      </c>
    </row>
    <row r="14" spans="2:3" x14ac:dyDescent="0.3">
      <c r="B14" s="94" t="s">
        <v>218</v>
      </c>
    </row>
    <row r="15" spans="2:3" x14ac:dyDescent="0.3">
      <c r="B15" s="88" t="s">
        <v>224</v>
      </c>
    </row>
    <row r="16" spans="2:3" x14ac:dyDescent="0.3">
      <c r="B16" s="95" t="s">
        <v>220</v>
      </c>
    </row>
    <row r="17" spans="2:4" x14ac:dyDescent="0.3">
      <c r="B17" s="25"/>
    </row>
    <row r="18" spans="2:4" x14ac:dyDescent="0.3">
      <c r="B18" s="2" t="s">
        <v>64</v>
      </c>
    </row>
    <row r="19" spans="2:4" ht="19.5" customHeight="1" x14ac:dyDescent="0.3">
      <c r="B19" s="2" t="s">
        <v>221</v>
      </c>
    </row>
    <row r="20" spans="2:4" x14ac:dyDescent="0.3">
      <c r="B20" s="91" t="s">
        <v>226</v>
      </c>
    </row>
    <row r="21" spans="2:4" x14ac:dyDescent="0.3">
      <c r="B21" s="91" t="s">
        <v>227</v>
      </c>
    </row>
    <row r="22" spans="2:4" ht="25.5" customHeight="1" x14ac:dyDescent="0.3">
      <c r="B22" s="90" t="s">
        <v>98</v>
      </c>
    </row>
    <row r="23" spans="2:4" ht="10.5" customHeight="1" x14ac:dyDescent="0.3"/>
    <row r="24" spans="2:4" ht="24.75" customHeight="1" x14ac:dyDescent="0.3">
      <c r="B24" s="91" t="s">
        <v>222</v>
      </c>
      <c r="C24" s="91"/>
      <c r="D24" s="91"/>
    </row>
    <row r="25" spans="2:4" ht="26.25" customHeight="1" x14ac:dyDescent="0.3">
      <c r="B25" s="91" t="s">
        <v>311</v>
      </c>
      <c r="C25" s="91"/>
      <c r="D25" s="91"/>
    </row>
    <row r="26" spans="2:4" ht="32.25" customHeight="1" x14ac:dyDescent="0.3">
      <c r="B26" s="189" t="s">
        <v>223</v>
      </c>
      <c r="C26" s="189"/>
      <c r="D26" s="189"/>
    </row>
    <row r="28" spans="2:4" x14ac:dyDescent="0.3">
      <c r="B28" s="2" t="s">
        <v>97</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39"/>
  <sheetViews>
    <sheetView showGridLines="0" zoomScale="90" zoomScaleNormal="90" workbookViewId="0">
      <pane ySplit="3" topLeftCell="A24" activePane="bottomLeft" state="frozen"/>
      <selection activeCell="A7" sqref="A7"/>
      <selection pane="bottomLeft" activeCell="G34" sqref="G34"/>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336</v>
      </c>
      <c r="Z1" s="26" t="s">
        <v>29</v>
      </c>
    </row>
    <row r="2" spans="2:26" x14ac:dyDescent="0.3">
      <c r="B2" s="203" t="s">
        <v>374</v>
      </c>
      <c r="C2" s="204"/>
      <c r="D2" s="204"/>
      <c r="E2" s="204"/>
      <c r="F2" s="205"/>
      <c r="Z2" s="26" t="s">
        <v>79</v>
      </c>
    </row>
    <row r="3" spans="2:26" ht="24.75" customHeight="1" x14ac:dyDescent="0.3">
      <c r="B3" s="206"/>
      <c r="C3" s="207"/>
      <c r="D3" s="207"/>
      <c r="E3" s="207"/>
      <c r="F3" s="208"/>
    </row>
    <row r="4" spans="2:26" ht="18" customHeight="1" x14ac:dyDescent="0.3">
      <c r="B4" s="25" t="s">
        <v>78</v>
      </c>
      <c r="C4" s="27"/>
      <c r="D4" s="27"/>
      <c r="E4" s="27"/>
      <c r="F4" s="27"/>
    </row>
    <row r="5" spans="2:26" ht="24.75" customHeight="1" x14ac:dyDescent="0.3">
      <c r="B5" s="197"/>
      <c r="C5" s="198"/>
      <c r="D5" s="198"/>
      <c r="E5" s="198"/>
      <c r="F5" s="199"/>
    </row>
    <row r="6" spans="2:26" ht="13.5" customHeight="1" x14ac:dyDescent="0.3">
      <c r="B6" s="27"/>
      <c r="C6" s="27"/>
      <c r="D6" s="27"/>
      <c r="E6" s="27"/>
      <c r="F6" s="27"/>
    </row>
    <row r="7" spans="2:26" x14ac:dyDescent="0.3">
      <c r="B7" s="25" t="s">
        <v>48</v>
      </c>
    </row>
    <row r="8" spans="2:26" x14ac:dyDescent="0.3">
      <c r="B8" s="214" t="s">
        <v>337</v>
      </c>
      <c r="C8" s="215"/>
      <c r="D8" s="209" t="s">
        <v>30</v>
      </c>
      <c r="E8" s="209"/>
      <c r="F8" s="209"/>
    </row>
    <row r="9" spans="2:26" ht="22.5" customHeight="1" x14ac:dyDescent="0.3">
      <c r="B9" s="200" t="s">
        <v>345</v>
      </c>
      <c r="C9" s="201"/>
      <c r="D9" s="210" t="s">
        <v>347</v>
      </c>
      <c r="E9" s="210"/>
      <c r="F9" s="210"/>
    </row>
    <row r="10" spans="2:26" ht="35.25" customHeight="1" x14ac:dyDescent="0.3">
      <c r="B10" s="200" t="s">
        <v>346</v>
      </c>
      <c r="C10" s="201"/>
      <c r="D10" s="211" t="s">
        <v>348</v>
      </c>
      <c r="E10" s="212"/>
      <c r="F10" s="213"/>
    </row>
    <row r="11" spans="2:26" ht="39" customHeight="1" x14ac:dyDescent="0.3">
      <c r="B11" s="200"/>
      <c r="C11" s="201"/>
      <c r="D11" s="210"/>
      <c r="E11" s="210"/>
      <c r="F11" s="210"/>
    </row>
    <row r="12" spans="2:26" ht="22.5" customHeight="1" x14ac:dyDescent="0.3">
      <c r="B12" s="200"/>
      <c r="C12" s="201"/>
      <c r="D12" s="210"/>
      <c r="E12" s="210"/>
      <c r="F12" s="210"/>
    </row>
    <row r="13" spans="2:26" ht="42" customHeight="1" x14ac:dyDescent="0.3">
      <c r="B13" s="200"/>
      <c r="C13" s="201"/>
      <c r="D13" s="210"/>
      <c r="E13" s="210"/>
      <c r="F13" s="210"/>
    </row>
    <row r="14" spans="2:26" ht="22.5" customHeight="1" x14ac:dyDescent="0.3">
      <c r="B14" s="200"/>
      <c r="C14" s="201"/>
      <c r="D14" s="210"/>
      <c r="E14" s="210"/>
      <c r="F14" s="210"/>
    </row>
    <row r="15" spans="2:26" ht="45.75" customHeight="1" x14ac:dyDescent="0.3">
      <c r="B15" s="200"/>
      <c r="C15" s="201"/>
      <c r="D15" s="210"/>
      <c r="E15" s="210"/>
      <c r="F15" s="210"/>
    </row>
    <row r="16" spans="2:26" ht="28.5" customHeight="1" x14ac:dyDescent="0.3">
      <c r="B16" s="200"/>
      <c r="C16" s="201"/>
      <c r="D16" s="210"/>
      <c r="E16" s="210"/>
      <c r="F16" s="210"/>
    </row>
    <row r="17" spans="2:11" ht="22.5" customHeight="1" x14ac:dyDescent="0.3">
      <c r="B17" s="195"/>
      <c r="C17" s="196"/>
      <c r="D17" s="202"/>
      <c r="E17" s="202"/>
      <c r="F17" s="202"/>
    </row>
    <row r="18" spans="2:11" ht="22.5" customHeight="1" x14ac:dyDescent="0.3">
      <c r="B18" s="195"/>
      <c r="C18" s="196"/>
      <c r="D18" s="202"/>
      <c r="E18" s="202"/>
      <c r="F18" s="202"/>
    </row>
    <row r="19" spans="2:11" ht="22.5" customHeight="1" x14ac:dyDescent="0.3">
      <c r="B19" s="195"/>
      <c r="C19" s="196"/>
      <c r="D19" s="202"/>
      <c r="E19" s="202"/>
      <c r="F19" s="202"/>
    </row>
    <row r="20" spans="2:11" ht="22.5" customHeight="1" x14ac:dyDescent="0.3">
      <c r="B20" s="195"/>
      <c r="C20" s="196"/>
      <c r="D20" s="202"/>
      <c r="E20" s="202"/>
      <c r="F20" s="202"/>
    </row>
    <row r="21" spans="2:11" ht="22.5" customHeight="1" x14ac:dyDescent="0.3">
      <c r="B21" s="195"/>
      <c r="C21" s="196"/>
      <c r="D21" s="202"/>
      <c r="E21" s="202"/>
      <c r="F21" s="202"/>
    </row>
    <row r="22" spans="2:11" ht="22.5" customHeight="1" x14ac:dyDescent="0.3">
      <c r="B22" s="195"/>
      <c r="C22" s="196"/>
      <c r="D22" s="202"/>
      <c r="E22" s="202"/>
      <c r="F22" s="202"/>
    </row>
    <row r="23" spans="2:11" ht="22.5" customHeight="1" x14ac:dyDescent="0.3">
      <c r="B23" s="195"/>
      <c r="C23" s="196"/>
      <c r="D23" s="202"/>
      <c r="E23" s="202"/>
      <c r="F23" s="202"/>
    </row>
    <row r="24" spans="2:11" ht="12.75" customHeight="1" x14ac:dyDescent="0.3">
      <c r="B24" s="28"/>
      <c r="C24" s="28"/>
      <c r="D24" s="29"/>
      <c r="E24" s="29"/>
      <c r="F24" s="29"/>
    </row>
    <row r="25" spans="2:11" x14ac:dyDescent="0.3">
      <c r="B25" s="25" t="s">
        <v>49</v>
      </c>
    </row>
    <row r="26" spans="2:11" ht="38.25" customHeight="1" x14ac:dyDescent="0.3">
      <c r="B26" s="191" t="s">
        <v>47</v>
      </c>
      <c r="C26" s="193" t="s">
        <v>27</v>
      </c>
      <c r="D26" s="193" t="s">
        <v>28</v>
      </c>
      <c r="E26" s="193" t="s">
        <v>30</v>
      </c>
      <c r="F26" s="191" t="s">
        <v>340</v>
      </c>
      <c r="G26" s="190" t="s">
        <v>100</v>
      </c>
      <c r="H26" s="190"/>
      <c r="I26" s="190"/>
      <c r="J26" s="190"/>
      <c r="K26" s="190"/>
    </row>
    <row r="27" spans="2:11" ht="36" customHeight="1" x14ac:dyDescent="0.3">
      <c r="B27" s="192"/>
      <c r="C27" s="194"/>
      <c r="D27" s="194"/>
      <c r="E27" s="194"/>
      <c r="F27" s="192"/>
      <c r="G27" s="64" t="s">
        <v>101</v>
      </c>
      <c r="H27" s="64" t="s">
        <v>102</v>
      </c>
      <c r="I27" s="64" t="s">
        <v>103</v>
      </c>
      <c r="J27" s="64" t="s">
        <v>104</v>
      </c>
      <c r="K27" s="64" t="s">
        <v>105</v>
      </c>
    </row>
    <row r="28" spans="2:11" ht="27.75" customHeight="1" x14ac:dyDescent="0.3">
      <c r="B28" s="30">
        <v>1</v>
      </c>
      <c r="C28" s="31" t="s">
        <v>357</v>
      </c>
      <c r="D28" s="30" t="s">
        <v>79</v>
      </c>
      <c r="E28" s="31"/>
      <c r="F28" s="30"/>
      <c r="G28" s="65">
        <f>'Option 1 (Baseline)'!$C$4</f>
        <v>-20.36991252163153</v>
      </c>
      <c r="H28" s="65">
        <f>'Option 1 (Baseline)'!$C$5</f>
        <v>-20.775283668635385</v>
      </c>
      <c r="I28" s="65">
        <f>'Option 1 (Baseline)'!$C$6</f>
        <v>-21.046172666955748</v>
      </c>
      <c r="J28" s="65">
        <f>'Option 1 (Baseline)'!$C$7</f>
        <v>-21.324463379617228</v>
      </c>
      <c r="K28" s="66"/>
    </row>
    <row r="29" spans="2:11" ht="27.75" customHeight="1" x14ac:dyDescent="0.3">
      <c r="B29" s="30">
        <v>2</v>
      </c>
      <c r="C29" s="30" t="s">
        <v>358</v>
      </c>
      <c r="D29" s="30" t="s">
        <v>29</v>
      </c>
      <c r="E29" s="31"/>
      <c r="F29" s="30"/>
      <c r="G29" s="65">
        <f>'Option 2'!$C$4</f>
        <v>-8.1545213035594202</v>
      </c>
      <c r="H29" s="65">
        <f>'Option 2'!$C$5</f>
        <v>-9.8783367900426384</v>
      </c>
      <c r="I29" s="65">
        <f>'Option 2'!$C$6</f>
        <v>-11.031234573025792</v>
      </c>
      <c r="J29" s="65">
        <f>'Option 2'!$C$7</f>
        <v>-12.217505409986849</v>
      </c>
      <c r="K29" s="30"/>
    </row>
    <row r="30" spans="2:11" ht="27.75" customHeight="1" x14ac:dyDescent="0.3">
      <c r="B30" s="164">
        <v>3</v>
      </c>
      <c r="C30" s="164"/>
      <c r="D30" s="164"/>
      <c r="E30" s="165"/>
      <c r="F30" s="164"/>
      <c r="G30" s="166"/>
      <c r="H30" s="166"/>
      <c r="I30" s="166"/>
      <c r="J30" s="166"/>
      <c r="K30" s="164"/>
    </row>
    <row r="31" spans="2:11" ht="27.75" customHeight="1" x14ac:dyDescent="0.3">
      <c r="B31" s="164">
        <v>4</v>
      </c>
      <c r="C31" s="164"/>
      <c r="D31" s="164"/>
      <c r="E31" s="165"/>
      <c r="F31" s="164"/>
      <c r="G31" s="166"/>
      <c r="H31" s="166"/>
      <c r="I31" s="166"/>
      <c r="J31" s="166"/>
      <c r="K31" s="164"/>
    </row>
    <row r="32" spans="2:11" ht="27.75" customHeight="1" x14ac:dyDescent="0.3">
      <c r="B32" s="164">
        <v>5</v>
      </c>
      <c r="C32" s="164"/>
      <c r="D32" s="164"/>
      <c r="E32" s="165"/>
      <c r="F32" s="164"/>
      <c r="G32" s="166"/>
      <c r="H32" s="166"/>
      <c r="I32" s="166"/>
      <c r="J32" s="166"/>
      <c r="K32" s="164"/>
    </row>
    <row r="33" spans="2:11" ht="27.75" customHeight="1" x14ac:dyDescent="0.3">
      <c r="B33" s="164">
        <v>6</v>
      </c>
      <c r="C33" s="164"/>
      <c r="D33" s="164"/>
      <c r="E33" s="165"/>
      <c r="F33" s="164"/>
      <c r="G33" s="166"/>
      <c r="H33" s="166"/>
      <c r="I33" s="166"/>
      <c r="J33" s="166"/>
      <c r="K33" s="164"/>
    </row>
    <row r="34" spans="2:11" ht="27.75" customHeight="1" x14ac:dyDescent="0.3">
      <c r="B34" s="164">
        <v>7</v>
      </c>
      <c r="C34" s="164"/>
      <c r="D34" s="164"/>
      <c r="E34" s="165"/>
      <c r="F34" s="164"/>
      <c r="G34" s="166"/>
      <c r="H34" s="166"/>
      <c r="I34" s="166"/>
      <c r="J34" s="166"/>
      <c r="K34" s="164"/>
    </row>
    <row r="35" spans="2:11" ht="27.75" customHeight="1" x14ac:dyDescent="0.3">
      <c r="B35" s="164">
        <v>8</v>
      </c>
      <c r="C35" s="164"/>
      <c r="D35" s="164"/>
      <c r="E35" s="165"/>
      <c r="F35" s="164"/>
      <c r="G35" s="166"/>
      <c r="H35" s="166"/>
      <c r="I35" s="166"/>
      <c r="J35" s="166"/>
      <c r="K35" s="164"/>
    </row>
    <row r="39" spans="2:11" x14ac:dyDescent="0.3">
      <c r="B39" s="2" t="s">
        <v>106</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F28 G29:J35">
    <cfRule type="expression" dxfId="9" priority="19">
      <formula>$D28="adopted"</formula>
    </cfRule>
  </conditionalFormatting>
  <conditionalFormatting sqref="B29:F35">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xr:uid="{00000000-0002-0000-0200-000000000000}">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F30" sqref="F30"/>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84</v>
      </c>
      <c r="C1" s="21"/>
      <c r="D1" s="21"/>
      <c r="E1" s="21"/>
      <c r="F1" s="32" t="s">
        <v>85</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9" t="s">
        <v>295</v>
      </c>
      <c r="E3" s="21"/>
      <c r="F3" s="77"/>
      <c r="G3" s="127" t="s">
        <v>304</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308</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309</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203</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206</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204</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305</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306</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205</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307</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216" t="s">
        <v>73</v>
      </c>
      <c r="C13" s="217"/>
      <c r="D13" s="126" t="s">
        <v>323</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218"/>
      <c r="C14" s="219"/>
      <c r="D14" s="43" t="s">
        <v>107</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220" t="s">
        <v>324</v>
      </c>
      <c r="C15" s="42" t="s">
        <v>317</v>
      </c>
      <c r="D15" s="125">
        <v>1.3408686121386491</v>
      </c>
      <c r="E15" s="21"/>
      <c r="F15" s="70" t="s">
        <v>90</v>
      </c>
      <c r="G15" s="39"/>
      <c r="H15" s="39"/>
      <c r="I15" s="76" t="s">
        <v>154</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220"/>
      <c r="C16" s="42" t="s">
        <v>318</v>
      </c>
      <c r="D16" s="125">
        <v>1.3004251926654264</v>
      </c>
      <c r="E16" s="83"/>
      <c r="F16" s="71" t="s">
        <v>155</v>
      </c>
      <c r="G16" s="39"/>
      <c r="H16" s="39"/>
      <c r="I16" s="76" t="s">
        <v>325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220"/>
      <c r="C17" s="42" t="s">
        <v>319</v>
      </c>
      <c r="D17" s="125">
        <v>1.2670349113192076</v>
      </c>
      <c r="E17" s="83"/>
      <c r="F17" s="70" t="s">
        <v>208</v>
      </c>
      <c r="G17" s="72"/>
      <c r="H17" s="72"/>
      <c r="I17" s="79" t="s">
        <v>202</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220"/>
      <c r="C18" s="42" t="s">
        <v>320</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220"/>
      <c r="C19" s="42" t="s">
        <v>321</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220"/>
      <c r="C20" s="42" t="s">
        <v>322</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220"/>
      <c r="C21" s="42" t="s">
        <v>251</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220"/>
      <c r="C22" s="42" t="s">
        <v>252</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220"/>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220"/>
      <c r="C24" s="42" t="s">
        <v>107</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312</v>
      </c>
    </row>
    <row r="28" spans="1:59" x14ac:dyDescent="0.3">
      <c r="B28" s="20" t="s">
        <v>248</v>
      </c>
      <c r="E28" s="74"/>
    </row>
    <row r="29" spans="1:59" x14ac:dyDescent="0.3">
      <c r="B29" s="20" t="s">
        <v>249</v>
      </c>
    </row>
    <row r="31" spans="1:59" x14ac:dyDescent="0.3">
      <c r="B31" s="20" t="str">
        <f>"Power sector emissions reduce by"&amp;" "&amp;ROUND($D$78,2)&amp;" g/kWh p.a. between now and 2030."</f>
        <v>Power sector emissions reduce by 14.5 g/kWh p.a. between now and 2030.</v>
      </c>
    </row>
    <row r="32" spans="1:59" x14ac:dyDescent="0.3">
      <c r="B32" s="20" t="s">
        <v>250</v>
      </c>
      <c r="H32" s="73"/>
    </row>
    <row r="33" spans="2:5" ht="47.25" customHeight="1" x14ac:dyDescent="0.3">
      <c r="D33" s="106" t="s">
        <v>291</v>
      </c>
    </row>
    <row r="34" spans="2:5" x14ac:dyDescent="0.3">
      <c r="B34" s="111" t="s">
        <v>245</v>
      </c>
      <c r="C34" s="20" t="s">
        <v>251</v>
      </c>
      <c r="D34" s="20">
        <f>0.58982*1000</f>
        <v>589.82000000000005</v>
      </c>
      <c r="E34" s="20" t="s">
        <v>292</v>
      </c>
    </row>
    <row r="35" spans="2:5" x14ac:dyDescent="0.3">
      <c r="B35" s="111" t="s">
        <v>246</v>
      </c>
      <c r="C35" s="20" t="s">
        <v>252</v>
      </c>
      <c r="D35" s="73">
        <f>D34-$D$78</f>
        <v>575.32450000000006</v>
      </c>
    </row>
    <row r="36" spans="2:5" x14ac:dyDescent="0.3">
      <c r="B36" s="111" t="s">
        <v>247</v>
      </c>
      <c r="C36" s="20" t="s">
        <v>72</v>
      </c>
      <c r="D36" s="73">
        <f t="shared" ref="D36:D73" si="2">D35-$D$78</f>
        <v>560.82900000000006</v>
      </c>
    </row>
    <row r="37" spans="2:5" x14ac:dyDescent="0.3">
      <c r="C37" s="20" t="s">
        <v>107</v>
      </c>
      <c r="D37" s="73">
        <f t="shared" si="2"/>
        <v>546.33350000000007</v>
      </c>
    </row>
    <row r="38" spans="2:5" x14ac:dyDescent="0.3">
      <c r="C38" s="20" t="s">
        <v>253</v>
      </c>
      <c r="D38" s="73">
        <f t="shared" si="2"/>
        <v>531.83800000000008</v>
      </c>
    </row>
    <row r="39" spans="2:5" x14ac:dyDescent="0.3">
      <c r="C39" s="20" t="s">
        <v>254</v>
      </c>
      <c r="D39" s="73">
        <f t="shared" si="2"/>
        <v>517.34250000000009</v>
      </c>
    </row>
    <row r="40" spans="2:5" x14ac:dyDescent="0.3">
      <c r="C40" s="20" t="s">
        <v>255</v>
      </c>
      <c r="D40" s="73">
        <f t="shared" si="2"/>
        <v>502.84700000000009</v>
      </c>
    </row>
    <row r="41" spans="2:5" x14ac:dyDescent="0.3">
      <c r="C41" s="20" t="s">
        <v>256</v>
      </c>
      <c r="D41" s="73">
        <f t="shared" si="2"/>
        <v>488.3515000000001</v>
      </c>
    </row>
    <row r="42" spans="2:5" x14ac:dyDescent="0.3">
      <c r="C42" s="20" t="s">
        <v>257</v>
      </c>
      <c r="D42" s="73">
        <f t="shared" si="2"/>
        <v>473.85600000000011</v>
      </c>
    </row>
    <row r="43" spans="2:5" x14ac:dyDescent="0.3">
      <c r="C43" s="20" t="s">
        <v>258</v>
      </c>
      <c r="D43" s="73">
        <f t="shared" si="2"/>
        <v>459.36050000000012</v>
      </c>
    </row>
    <row r="44" spans="2:5" x14ac:dyDescent="0.3">
      <c r="C44" s="20" t="s">
        <v>259</v>
      </c>
      <c r="D44" s="73">
        <f t="shared" si="2"/>
        <v>444.86500000000012</v>
      </c>
    </row>
    <row r="45" spans="2:5" x14ac:dyDescent="0.3">
      <c r="C45" s="20" t="s">
        <v>260</v>
      </c>
      <c r="D45" s="73">
        <f t="shared" si="2"/>
        <v>430.36950000000013</v>
      </c>
    </row>
    <row r="46" spans="2:5" x14ac:dyDescent="0.3">
      <c r="C46" s="20" t="s">
        <v>261</v>
      </c>
      <c r="D46" s="73">
        <f t="shared" si="2"/>
        <v>415.87400000000014</v>
      </c>
    </row>
    <row r="47" spans="2:5" x14ac:dyDescent="0.3">
      <c r="C47" s="20" t="s">
        <v>262</v>
      </c>
      <c r="D47" s="73">
        <f t="shared" si="2"/>
        <v>401.37850000000014</v>
      </c>
    </row>
    <row r="48" spans="2:5" x14ac:dyDescent="0.3">
      <c r="C48" s="20" t="s">
        <v>263</v>
      </c>
      <c r="D48" s="73">
        <f t="shared" si="2"/>
        <v>386.88300000000015</v>
      </c>
    </row>
    <row r="49" spans="3:4" x14ac:dyDescent="0.3">
      <c r="C49" s="20" t="s">
        <v>264</v>
      </c>
      <c r="D49" s="73">
        <f t="shared" si="2"/>
        <v>372.38750000000016</v>
      </c>
    </row>
    <row r="50" spans="3:4" x14ac:dyDescent="0.3">
      <c r="C50" s="20" t="s">
        <v>265</v>
      </c>
      <c r="D50" s="73">
        <f t="shared" si="2"/>
        <v>357.89200000000017</v>
      </c>
    </row>
    <row r="51" spans="3:4" x14ac:dyDescent="0.3">
      <c r="C51" s="20" t="s">
        <v>266</v>
      </c>
      <c r="D51" s="73">
        <f t="shared" si="2"/>
        <v>343.39650000000017</v>
      </c>
    </row>
    <row r="52" spans="3:4" x14ac:dyDescent="0.3">
      <c r="C52" s="20" t="s">
        <v>267</v>
      </c>
      <c r="D52" s="73">
        <f t="shared" si="2"/>
        <v>328.90100000000018</v>
      </c>
    </row>
    <row r="53" spans="3:4" x14ac:dyDescent="0.3">
      <c r="C53" s="20" t="s">
        <v>268</v>
      </c>
      <c r="D53" s="73">
        <f t="shared" si="2"/>
        <v>314.40550000000019</v>
      </c>
    </row>
    <row r="54" spans="3:4" x14ac:dyDescent="0.3">
      <c r="C54" s="20" t="s">
        <v>269</v>
      </c>
      <c r="D54" s="73">
        <f t="shared" si="2"/>
        <v>299.9100000000002</v>
      </c>
    </row>
    <row r="55" spans="3:4" x14ac:dyDescent="0.3">
      <c r="C55" s="20" t="s">
        <v>270</v>
      </c>
      <c r="D55" s="73">
        <f t="shared" si="2"/>
        <v>285.4145000000002</v>
      </c>
    </row>
    <row r="56" spans="3:4" x14ac:dyDescent="0.3">
      <c r="C56" s="20" t="s">
        <v>271</v>
      </c>
      <c r="D56" s="73">
        <f t="shared" si="2"/>
        <v>270.91900000000021</v>
      </c>
    </row>
    <row r="57" spans="3:4" x14ac:dyDescent="0.3">
      <c r="C57" s="20" t="s">
        <v>272</v>
      </c>
      <c r="D57" s="73">
        <f t="shared" si="2"/>
        <v>256.42350000000022</v>
      </c>
    </row>
    <row r="58" spans="3:4" x14ac:dyDescent="0.3">
      <c r="C58" s="20" t="s">
        <v>273</v>
      </c>
      <c r="D58" s="73">
        <f t="shared" si="2"/>
        <v>241.92800000000022</v>
      </c>
    </row>
    <row r="59" spans="3:4" x14ac:dyDescent="0.3">
      <c r="C59" s="20" t="s">
        <v>274</v>
      </c>
      <c r="D59" s="73">
        <f t="shared" si="2"/>
        <v>227.43250000000023</v>
      </c>
    </row>
    <row r="60" spans="3:4" x14ac:dyDescent="0.3">
      <c r="C60" s="20" t="s">
        <v>275</v>
      </c>
      <c r="D60" s="73">
        <f t="shared" si="2"/>
        <v>212.93700000000024</v>
      </c>
    </row>
    <row r="61" spans="3:4" x14ac:dyDescent="0.3">
      <c r="C61" s="20" t="s">
        <v>276</v>
      </c>
      <c r="D61" s="73">
        <f t="shared" si="2"/>
        <v>198.44150000000025</v>
      </c>
    </row>
    <row r="62" spans="3:4" x14ac:dyDescent="0.3">
      <c r="C62" s="20" t="s">
        <v>277</v>
      </c>
      <c r="D62" s="73">
        <f t="shared" si="2"/>
        <v>183.94600000000025</v>
      </c>
    </row>
    <row r="63" spans="3:4" x14ac:dyDescent="0.3">
      <c r="C63" s="20" t="s">
        <v>278</v>
      </c>
      <c r="D63" s="73">
        <f t="shared" si="2"/>
        <v>169.45050000000026</v>
      </c>
    </row>
    <row r="64" spans="3:4" x14ac:dyDescent="0.3">
      <c r="C64" s="20" t="s">
        <v>279</v>
      </c>
      <c r="D64" s="73">
        <f t="shared" si="2"/>
        <v>154.95500000000027</v>
      </c>
    </row>
    <row r="65" spans="3:5" x14ac:dyDescent="0.3">
      <c r="C65" s="20" t="s">
        <v>280</v>
      </c>
      <c r="D65" s="73">
        <f t="shared" si="2"/>
        <v>140.45950000000028</v>
      </c>
    </row>
    <row r="66" spans="3:5" x14ac:dyDescent="0.3">
      <c r="C66" s="20" t="s">
        <v>281</v>
      </c>
      <c r="D66" s="73">
        <f t="shared" si="2"/>
        <v>125.96400000000027</v>
      </c>
    </row>
    <row r="67" spans="3:5" x14ac:dyDescent="0.3">
      <c r="C67" s="20" t="s">
        <v>282</v>
      </c>
      <c r="D67" s="73">
        <f t="shared" si="2"/>
        <v>111.46850000000026</v>
      </c>
    </row>
    <row r="68" spans="3:5" x14ac:dyDescent="0.3">
      <c r="C68" s="20" t="s">
        <v>283</v>
      </c>
      <c r="D68" s="73">
        <f t="shared" si="2"/>
        <v>96.973000000000255</v>
      </c>
    </row>
    <row r="69" spans="3:5" x14ac:dyDescent="0.3">
      <c r="C69" s="20" t="s">
        <v>284</v>
      </c>
      <c r="D69" s="73">
        <f t="shared" si="2"/>
        <v>82.477500000000248</v>
      </c>
    </row>
    <row r="70" spans="3:5" x14ac:dyDescent="0.3">
      <c r="C70" s="20" t="s">
        <v>285</v>
      </c>
      <c r="D70" s="73">
        <f t="shared" si="2"/>
        <v>67.982000000000241</v>
      </c>
    </row>
    <row r="71" spans="3:5" x14ac:dyDescent="0.3">
      <c r="C71" s="20" t="s">
        <v>286</v>
      </c>
      <c r="D71" s="73">
        <f t="shared" si="2"/>
        <v>53.486500000000241</v>
      </c>
    </row>
    <row r="72" spans="3:5" x14ac:dyDescent="0.3">
      <c r="C72" s="20" t="s">
        <v>287</v>
      </c>
      <c r="D72" s="73">
        <f t="shared" si="2"/>
        <v>38.991000000000241</v>
      </c>
    </row>
    <row r="73" spans="3:5" x14ac:dyDescent="0.3">
      <c r="C73" s="20" t="s">
        <v>288</v>
      </c>
      <c r="D73" s="73">
        <f t="shared" si="2"/>
        <v>24.495500000000241</v>
      </c>
    </row>
    <row r="74" spans="3:5" x14ac:dyDescent="0.3">
      <c r="C74" s="20" t="s">
        <v>289</v>
      </c>
      <c r="D74" s="73">
        <v>10</v>
      </c>
    </row>
    <row r="75" spans="3:5" x14ac:dyDescent="0.3">
      <c r="C75" s="20" t="s">
        <v>290</v>
      </c>
      <c r="D75" s="73">
        <f>D73-D78</f>
        <v>10.00000000000024</v>
      </c>
      <c r="E75" s="20" t="s">
        <v>293</v>
      </c>
    </row>
    <row r="78" spans="3:5" x14ac:dyDescent="0.3">
      <c r="D78" s="107">
        <f>(D34-D74)/40</f>
        <v>14.495500000000002</v>
      </c>
      <c r="E78" s="20" t="s">
        <v>294</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44"/>
  <sheetViews>
    <sheetView tabSelected="1" topLeftCell="A13" workbookViewId="0">
      <selection activeCell="J31" sqref="J31"/>
    </sheetView>
  </sheetViews>
  <sheetFormatPr defaultRowHeight="15" x14ac:dyDescent="0.25"/>
  <cols>
    <col min="1" max="1" width="5.85546875" customWidth="1"/>
    <col min="2" max="2" width="35.28515625" customWidth="1"/>
    <col min="3" max="3" width="13.28515625" customWidth="1"/>
    <col min="6" max="6" width="10.140625" customWidth="1"/>
    <col min="7" max="7" width="12" customWidth="1"/>
    <col min="8" max="8" width="10.5703125" customWidth="1"/>
    <col min="9" max="9" width="11.140625" bestFit="1" customWidth="1"/>
  </cols>
  <sheetData>
    <row r="1" spans="1:8" ht="18.75" x14ac:dyDescent="0.3">
      <c r="A1" s="1" t="s">
        <v>300</v>
      </c>
    </row>
    <row r="2" spans="1:8" x14ac:dyDescent="0.25">
      <c r="A2" t="s">
        <v>76</v>
      </c>
    </row>
    <row r="7" spans="1:8" x14ac:dyDescent="0.25">
      <c r="B7" t="s">
        <v>364</v>
      </c>
    </row>
    <row r="10" spans="1:8" ht="15.75" thickBot="1" x14ac:dyDescent="0.3">
      <c r="B10" t="s">
        <v>353</v>
      </c>
      <c r="C10" t="s">
        <v>255</v>
      </c>
      <c r="D10" t="s">
        <v>256</v>
      </c>
      <c r="E10" t="s">
        <v>257</v>
      </c>
      <c r="F10" t="s">
        <v>258</v>
      </c>
      <c r="G10" t="s">
        <v>259</v>
      </c>
      <c r="H10" t="s">
        <v>380</v>
      </c>
    </row>
    <row r="11" spans="1:8" x14ac:dyDescent="0.25">
      <c r="B11" s="139" t="s">
        <v>350</v>
      </c>
      <c r="C11" s="184">
        <v>15609.33333333335</v>
      </c>
      <c r="D11" s="184">
        <v>20429.666666666664</v>
      </c>
      <c r="E11" s="184">
        <v>24083.333333333343</v>
      </c>
      <c r="F11" s="184">
        <v>24301.333333333299</v>
      </c>
      <c r="G11" s="184">
        <v>25885.666666666722</v>
      </c>
      <c r="H11" s="184">
        <v>31541.666666666621</v>
      </c>
    </row>
    <row r="12" spans="1:8" x14ac:dyDescent="0.25">
      <c r="B12" s="140" t="s">
        <v>351</v>
      </c>
      <c r="C12" s="172">
        <v>1684794.9999986053</v>
      </c>
      <c r="D12" s="172">
        <v>2273065.3333330471</v>
      </c>
      <c r="E12" s="172">
        <v>2664464.3333366676</v>
      </c>
      <c r="F12" s="172">
        <v>3044464.3333288995</v>
      </c>
      <c r="G12" s="172">
        <v>3468679.3333333409</v>
      </c>
      <c r="H12" s="172">
        <v>4226583.3333333265</v>
      </c>
    </row>
    <row r="13" spans="1:8" x14ac:dyDescent="0.25">
      <c r="B13" s="140" t="s">
        <v>367</v>
      </c>
      <c r="C13" s="142">
        <f>167800.333333333/1000000</f>
        <v>0.167800333333333</v>
      </c>
      <c r="D13" s="142">
        <f>219618.916666667/1000000</f>
        <v>0.219618916666667</v>
      </c>
      <c r="E13" s="142">
        <f>280330/1000000</f>
        <v>0.28033000000000002</v>
      </c>
      <c r="F13" s="142">
        <f>282867.520000001/1000000</f>
        <v>0.28286752000000098</v>
      </c>
      <c r="G13" s="142">
        <f>(G11*11.64)/1000000</f>
        <v>0.30130916000000069</v>
      </c>
      <c r="H13" s="142">
        <f>(H11*12.5485)/1000000</f>
        <v>0.39580060416666613</v>
      </c>
    </row>
    <row r="14" spans="1:8" x14ac:dyDescent="0.25">
      <c r="B14" s="140" t="s">
        <v>368</v>
      </c>
      <c r="C14" s="142">
        <f>438046.699999638/1000000</f>
        <v>0.43804669999963802</v>
      </c>
      <c r="D14" s="142">
        <f>590996.986666593/1000000</f>
        <v>0.59099698666659295</v>
      </c>
      <c r="E14" s="142">
        <f>746050.013334266/1000000</f>
        <v>0.74605001333426602</v>
      </c>
      <c r="F14" s="142">
        <f>852450.013332091/1000000</f>
        <v>0.85245001333209103</v>
      </c>
      <c r="G14" s="142">
        <f>(G12*(17/60))/1000000</f>
        <v>0.98279247777777989</v>
      </c>
      <c r="H14" s="142">
        <f>(H12*(18.3317/60))/1000000</f>
        <v>1.2913409615277758</v>
      </c>
    </row>
    <row r="15" spans="1:8" ht="15.75" thickBot="1" x14ac:dyDescent="0.3">
      <c r="B15" s="141" t="s">
        <v>369</v>
      </c>
      <c r="C15" s="144">
        <f t="shared" ref="C15:H15" si="0">SUM(C13:C14)</f>
        <v>0.60584703333297107</v>
      </c>
      <c r="D15" s="144">
        <f t="shared" si="0"/>
        <v>0.81061590333325995</v>
      </c>
      <c r="E15" s="144">
        <f t="shared" si="0"/>
        <v>1.026380013334266</v>
      </c>
      <c r="F15" s="144">
        <f t="shared" si="0"/>
        <v>1.135317533332092</v>
      </c>
      <c r="G15" s="144">
        <f t="shared" si="0"/>
        <v>1.2841016377777805</v>
      </c>
      <c r="H15" s="144">
        <f t="shared" si="0"/>
        <v>1.687141565694442</v>
      </c>
    </row>
    <row r="17" spans="2:10" x14ac:dyDescent="0.25">
      <c r="B17" s="129"/>
    </row>
    <row r="18" spans="2:10" ht="15.75" thickBot="1" x14ac:dyDescent="0.3">
      <c r="B18" s="129" t="s">
        <v>365</v>
      </c>
      <c r="C18" t="s">
        <v>255</v>
      </c>
      <c r="D18" t="s">
        <v>256</v>
      </c>
      <c r="E18" t="s">
        <v>257</v>
      </c>
      <c r="F18" t="s">
        <v>258</v>
      </c>
      <c r="G18" t="s">
        <v>259</v>
      </c>
      <c r="H18" t="s">
        <v>380</v>
      </c>
    </row>
    <row r="19" spans="2:10" x14ac:dyDescent="0.25">
      <c r="B19" s="139" t="s">
        <v>351</v>
      </c>
      <c r="C19" s="184">
        <v>181175.66666606389</v>
      </c>
      <c r="D19" s="184">
        <v>213387.99999774439</v>
      </c>
      <c r="E19" s="184">
        <v>336154.00000260607</v>
      </c>
      <c r="F19" s="184">
        <v>255441.00000137658</v>
      </c>
      <c r="G19" s="184">
        <v>240717</v>
      </c>
      <c r="H19" s="184">
        <v>360318</v>
      </c>
    </row>
    <row r="20" spans="2:10" ht="15.75" thickBot="1" x14ac:dyDescent="0.3">
      <c r="B20" s="141" t="s">
        <v>368</v>
      </c>
      <c r="C20" s="144">
        <f>50729.1866664979/1000000</f>
        <v>5.0729186666497901E-2</v>
      </c>
      <c r="D20" s="144">
        <f>59748.6399993684/1000000</f>
        <v>5.97486399993684E-2</v>
      </c>
      <c r="E20" s="163">
        <f>94123.1200007297/1000000</f>
        <v>9.4123120000729699E-2</v>
      </c>
      <c r="F20" s="163">
        <f>71523.4800003854/1000000</f>
        <v>7.15234800003854E-2</v>
      </c>
      <c r="G20" s="144">
        <f>(G19*(17/60))/1000000</f>
        <v>6.820314999999999E-2</v>
      </c>
      <c r="H20" s="239">
        <f>(H19*(18.3317/60))/1000000</f>
        <v>0.11008735801000001</v>
      </c>
    </row>
    <row r="21" spans="2:10" x14ac:dyDescent="0.25">
      <c r="B21" s="129"/>
      <c r="C21" s="156"/>
      <c r="D21" s="156"/>
      <c r="E21" s="129"/>
      <c r="F21" s="129"/>
      <c r="I21" s="145"/>
    </row>
    <row r="22" spans="2:10" x14ac:dyDescent="0.25">
      <c r="B22" s="129"/>
      <c r="C22" s="156"/>
      <c r="D22" s="156"/>
      <c r="E22" s="129"/>
      <c r="F22" s="129"/>
    </row>
    <row r="23" spans="2:10" ht="15.75" thickBot="1" x14ac:dyDescent="0.3">
      <c r="B23" t="s">
        <v>352</v>
      </c>
      <c r="C23" t="s">
        <v>255</v>
      </c>
      <c r="D23" t="s">
        <v>256</v>
      </c>
      <c r="E23" t="s">
        <v>257</v>
      </c>
      <c r="F23" t="s">
        <v>258</v>
      </c>
      <c r="G23" t="s">
        <v>259</v>
      </c>
      <c r="H23" t="s">
        <v>380</v>
      </c>
    </row>
    <row r="24" spans="2:10" x14ac:dyDescent="0.25">
      <c r="B24" s="137" t="s">
        <v>350</v>
      </c>
      <c r="C24" s="184">
        <v>34066</v>
      </c>
      <c r="D24" s="184">
        <v>42582</v>
      </c>
      <c r="E24" s="184">
        <v>49692</v>
      </c>
      <c r="F24" s="184">
        <v>41248</v>
      </c>
      <c r="G24" s="184">
        <v>43629.818181818184</v>
      </c>
      <c r="H24" s="184">
        <f>38307-695</f>
        <v>37612</v>
      </c>
    </row>
    <row r="25" spans="2:10" x14ac:dyDescent="0.25">
      <c r="B25" s="160" t="s">
        <v>370</v>
      </c>
      <c r="C25" s="142">
        <f>396528/1000000</f>
        <v>0.39652799999999999</v>
      </c>
      <c r="D25" s="142">
        <f>495654/1000000</f>
        <v>0.49565399999999998</v>
      </c>
      <c r="E25" s="142">
        <f>578414.88/1000000</f>
        <v>0.57841487999999996</v>
      </c>
      <c r="F25" s="142">
        <f>480126.72/1000000</f>
        <v>0.48012671999999995</v>
      </c>
      <c r="G25" s="142">
        <f>(G24*11.64)/1000000</f>
        <v>0.50785108363636366</v>
      </c>
      <c r="H25" s="142">
        <f>(H24*12.5485)/1000000</f>
        <v>0.47197418200000002</v>
      </c>
    </row>
    <row r="26" spans="2:10" x14ac:dyDescent="0.25">
      <c r="B26" s="138" t="s">
        <v>351</v>
      </c>
      <c r="C26" s="143">
        <v>4428580</v>
      </c>
      <c r="D26" s="148">
        <v>5535660</v>
      </c>
      <c r="E26" s="148">
        <v>6459960</v>
      </c>
      <c r="F26" s="172">
        <v>5362240</v>
      </c>
      <c r="G26" s="172">
        <v>7082602.9090909092</v>
      </c>
      <c r="H26" s="172">
        <f>6407268-93085</f>
        <v>6314183</v>
      </c>
    </row>
    <row r="27" spans="2:10" x14ac:dyDescent="0.25">
      <c r="B27" s="160" t="s">
        <v>371</v>
      </c>
      <c r="C27" s="142">
        <f>1254764/1000000</f>
        <v>1.254764</v>
      </c>
      <c r="D27" s="142">
        <f>1568437/1000000</f>
        <v>1.5684370000000001</v>
      </c>
      <c r="E27" s="142">
        <f>1830322/1000000</f>
        <v>1.830322</v>
      </c>
      <c r="F27" s="142">
        <f>1519301.33333333/1000000</f>
        <v>1.5193013333333301</v>
      </c>
      <c r="G27" s="142">
        <f>(G26*(17/60))/1000000</f>
        <v>2.0067374909090909</v>
      </c>
      <c r="H27" s="142">
        <f>(H26*(18.3317/60))/1000000</f>
        <v>1.9291618083516666</v>
      </c>
      <c r="I27" s="182"/>
      <c r="J27" s="145"/>
    </row>
    <row r="28" spans="2:10" x14ac:dyDescent="0.25">
      <c r="B28" s="160" t="s">
        <v>372</v>
      </c>
      <c r="C28" s="142">
        <f>509351.91/1000000</f>
        <v>0.50935191000000002</v>
      </c>
      <c r="D28" s="142">
        <f>553356.8/1000000</f>
        <v>0.55335680000000009</v>
      </c>
      <c r="E28" s="142">
        <f>589848.53/1000000</f>
        <v>0.58984853000000004</v>
      </c>
      <c r="F28" s="142">
        <f>555246.11/1000000</f>
        <v>0.55524611000000001</v>
      </c>
      <c r="G28" s="142">
        <f>383474.367272727/1000000</f>
        <v>0.38347436727272699</v>
      </c>
      <c r="H28" s="142">
        <f>476782.91/1000000</f>
        <v>0.47678290999999995</v>
      </c>
      <c r="I28" s="145"/>
    </row>
    <row r="29" spans="2:10" x14ac:dyDescent="0.25">
      <c r="B29" s="173" t="s">
        <v>377</v>
      </c>
      <c r="C29" s="142"/>
      <c r="D29" s="142"/>
      <c r="E29" s="142"/>
      <c r="F29" s="142"/>
      <c r="G29" s="175">
        <f>-82236.8444444444/1000000</f>
        <v>-8.2236844444444401E-2</v>
      </c>
      <c r="H29" s="175">
        <v>0</v>
      </c>
    </row>
    <row r="30" spans="2:10" ht="15.75" thickBot="1" x14ac:dyDescent="0.3">
      <c r="B30" s="161" t="s">
        <v>373</v>
      </c>
      <c r="C30" s="144">
        <f>C25+C27+C28</f>
        <v>2.1606439100000001</v>
      </c>
      <c r="D30" s="144">
        <f>D25+D27+D28</f>
        <v>2.6174477999999999</v>
      </c>
      <c r="E30" s="144">
        <f>E25+E27+E28</f>
        <v>2.9985854100000005</v>
      </c>
      <c r="F30" s="144">
        <f>F25+F27+F28</f>
        <v>2.5546741633333299</v>
      </c>
      <c r="G30" s="144">
        <f>G25+G27+G28+G29</f>
        <v>2.815826097373737</v>
      </c>
      <c r="H30" s="144">
        <f>H25+H27+H28+H29</f>
        <v>2.8779189003516663</v>
      </c>
      <c r="I30" s="145"/>
    </row>
    <row r="31" spans="2:10" x14ac:dyDescent="0.25">
      <c r="I31" s="174"/>
    </row>
    <row r="33" spans="2:9" ht="15.75" thickBot="1" x14ac:dyDescent="0.3">
      <c r="B33" s="159" t="s">
        <v>366</v>
      </c>
      <c r="C33" t="s">
        <v>255</v>
      </c>
      <c r="D33" t="s">
        <v>256</v>
      </c>
      <c r="E33" t="s">
        <v>257</v>
      </c>
      <c r="F33" t="s">
        <v>258</v>
      </c>
      <c r="G33" t="s">
        <v>259</v>
      </c>
      <c r="H33" t="s">
        <v>380</v>
      </c>
    </row>
    <row r="34" spans="2:9" x14ac:dyDescent="0.25">
      <c r="B34" s="137" t="s">
        <v>350</v>
      </c>
      <c r="C34" s="184">
        <f>C11+C24</f>
        <v>49675.33333333335</v>
      </c>
      <c r="D34" s="184">
        <f t="shared" ref="D34:E34" si="1">D11+D24</f>
        <v>63011.666666666664</v>
      </c>
      <c r="E34" s="185">
        <f t="shared" si="1"/>
        <v>73775.333333333343</v>
      </c>
      <c r="F34" s="185">
        <f t="shared" ref="F34:H34" si="2">F11+F24</f>
        <v>65549.333333333299</v>
      </c>
      <c r="G34" s="184">
        <f t="shared" si="2"/>
        <v>69515.484848484906</v>
      </c>
      <c r="H34" s="184">
        <f t="shared" si="2"/>
        <v>69153.666666666628</v>
      </c>
    </row>
    <row r="35" spans="2:9" x14ac:dyDescent="0.25">
      <c r="B35" s="138" t="s">
        <v>351</v>
      </c>
      <c r="C35" s="172">
        <f>C12+C19+C26</f>
        <v>6294550.6666646693</v>
      </c>
      <c r="D35" s="172">
        <f t="shared" ref="D35:E35" si="3">D12+D19+D26</f>
        <v>8022113.3333307914</v>
      </c>
      <c r="E35" s="186">
        <f t="shared" si="3"/>
        <v>9460578.3333392739</v>
      </c>
      <c r="F35" s="186">
        <f t="shared" ref="F35:H35" si="4">F12+F19+F26</f>
        <v>8662145.3333302755</v>
      </c>
      <c r="G35" s="172">
        <f t="shared" si="4"/>
        <v>10791999.24242425</v>
      </c>
      <c r="H35" s="172">
        <f t="shared" si="4"/>
        <v>10901084.333333327</v>
      </c>
    </row>
    <row r="36" spans="2:9" x14ac:dyDescent="0.25">
      <c r="B36" s="160" t="s">
        <v>370</v>
      </c>
      <c r="C36" s="142">
        <f>C13+C25</f>
        <v>0.56432833333333299</v>
      </c>
      <c r="D36" s="142">
        <f t="shared" ref="D36:E36" si="5">D13+D25</f>
        <v>0.71527291666666692</v>
      </c>
      <c r="E36" s="162">
        <f t="shared" si="5"/>
        <v>0.85874487999999993</v>
      </c>
      <c r="F36" s="162">
        <f t="shared" ref="F36:G36" si="6">F13+F25</f>
        <v>0.76299424000000093</v>
      </c>
      <c r="G36" s="142">
        <f t="shared" si="6"/>
        <v>0.8091602436363643</v>
      </c>
      <c r="H36" s="142">
        <f t="shared" ref="H36" si="7">H13+H25</f>
        <v>0.86777478616666615</v>
      </c>
    </row>
    <row r="37" spans="2:9" x14ac:dyDescent="0.25">
      <c r="B37" s="160" t="s">
        <v>371</v>
      </c>
      <c r="C37" s="142">
        <f>C14+C20+C27</f>
        <v>1.7435398866661358</v>
      </c>
      <c r="D37" s="142">
        <f t="shared" ref="D37:E37" si="8">D14+D20+D27</f>
        <v>2.2191826266659613</v>
      </c>
      <c r="E37" s="162">
        <f t="shared" si="8"/>
        <v>2.6704951333349958</v>
      </c>
      <c r="F37" s="162">
        <f t="shared" ref="F37:G37" si="9">F14+F20+F27</f>
        <v>2.4432748266658066</v>
      </c>
      <c r="G37" s="142">
        <f t="shared" si="9"/>
        <v>3.0577331186868708</v>
      </c>
      <c r="H37" s="142">
        <f t="shared" ref="H37" si="10">H14+H20+H27</f>
        <v>3.3305901278894421</v>
      </c>
    </row>
    <row r="38" spans="2:9" x14ac:dyDescent="0.25">
      <c r="B38" s="160" t="s">
        <v>372</v>
      </c>
      <c r="C38" s="142">
        <f>C28</f>
        <v>0.50935191000000002</v>
      </c>
      <c r="D38" s="142">
        <f t="shared" ref="D38:E38" si="11">D28</f>
        <v>0.55335680000000009</v>
      </c>
      <c r="E38" s="162">
        <f t="shared" si="11"/>
        <v>0.58984853000000004</v>
      </c>
      <c r="F38" s="162">
        <f t="shared" ref="F38:G38" si="12">F28</f>
        <v>0.55524611000000001</v>
      </c>
      <c r="G38" s="142">
        <f t="shared" si="12"/>
        <v>0.38347436727272699</v>
      </c>
      <c r="H38" s="142">
        <f t="shared" ref="H38" si="13">H28</f>
        <v>0.47678290999999995</v>
      </c>
    </row>
    <row r="39" spans="2:9" x14ac:dyDescent="0.25">
      <c r="B39" s="173" t="s">
        <v>377</v>
      </c>
      <c r="C39" s="142"/>
      <c r="D39" s="142"/>
      <c r="E39" s="162"/>
      <c r="F39" s="162"/>
      <c r="G39" s="175">
        <f>G29</f>
        <v>-8.2236844444444401E-2</v>
      </c>
      <c r="H39" s="175">
        <f>H29</f>
        <v>0</v>
      </c>
    </row>
    <row r="40" spans="2:9" ht="15.75" thickBot="1" x14ac:dyDescent="0.3">
      <c r="B40" s="161" t="s">
        <v>373</v>
      </c>
      <c r="C40" s="144">
        <f>SUM(C36:C38)</f>
        <v>2.8172201299994688</v>
      </c>
      <c r="D40" s="144">
        <f t="shared" ref="D40:E40" si="14">SUM(D36:D38)</f>
        <v>3.4878123433326285</v>
      </c>
      <c r="E40" s="163">
        <f t="shared" si="14"/>
        <v>4.1190885433349962</v>
      </c>
      <c r="F40" s="163">
        <f t="shared" ref="F40" si="15">SUM(F36:F38)</f>
        <v>3.7615151766658079</v>
      </c>
      <c r="G40" s="144">
        <f>SUM(G36:G39)</f>
        <v>4.168130885151518</v>
      </c>
      <c r="H40" s="144">
        <f>SUM(H36:H39)</f>
        <v>4.6751478240561077</v>
      </c>
      <c r="I40" s="145">
        <f>SUM(C40:H40)</f>
        <v>23.028914902540528</v>
      </c>
    </row>
    <row r="44" spans="2:9" x14ac:dyDescent="0.25">
      <c r="H44" s="188"/>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view="pageBreakPreview" zoomScale="80" zoomScaleNormal="90" zoomScaleSheetLayoutView="80" workbookViewId="0">
      <pane xSplit="2" ySplit="12" topLeftCell="C69" activePane="bottomRight" state="frozen"/>
      <selection activeCell="B5" sqref="B5:F5"/>
      <selection pane="topRight" activeCell="B5" sqref="B5:F5"/>
      <selection pane="bottomLeft" activeCell="B5" sqref="B5:F5"/>
      <selection pane="bottomRight" activeCell="K91" sqref="K91"/>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0.85546875" style="4" customWidth="1"/>
    <col min="6" max="6" width="12.140625" style="4" customWidth="1"/>
    <col min="7" max="9" width="10.85546875" style="4" bestFit="1"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343</v>
      </c>
      <c r="C1" s="3" t="s">
        <v>344</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-20.36991252163153</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-20.775283668635385</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-21.046172666955748</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-21.324463379617228</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221" t="s">
        <v>11</v>
      </c>
      <c r="B13" s="61" t="s">
        <v>198</v>
      </c>
      <c r="C13" s="60"/>
      <c r="D13" s="61" t="s">
        <v>39</v>
      </c>
      <c r="E13" s="62">
        <f>-'Baseline Workings'!C38</f>
        <v>-0.50935191000000002</v>
      </c>
      <c r="F13" s="62">
        <f>-'Baseline Workings'!D38</f>
        <v>-0.55335680000000009</v>
      </c>
      <c r="G13" s="62">
        <f>-'Baseline Workings'!E38</f>
        <v>-0.58984853000000004</v>
      </c>
      <c r="H13" s="62">
        <f>-'Baseline Workings'!F38</f>
        <v>-0.55524611000000001</v>
      </c>
      <c r="I13" s="62">
        <f>-'Baseline Workings'!G38</f>
        <v>-0.38347436727272699</v>
      </c>
      <c r="J13" s="62">
        <f>-'Baseline Workings'!H38</f>
        <v>-0.47678290999999995</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222"/>
      <c r="B14" s="61" t="s">
        <v>196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222"/>
      <c r="B15" s="61" t="s">
        <v>196</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222"/>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222"/>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223"/>
      <c r="B18" s="123" t="s">
        <v>195</v>
      </c>
      <c r="C18" s="128"/>
      <c r="D18" s="124" t="s">
        <v>39</v>
      </c>
      <c r="E18" s="59">
        <f>SUM(E13:E17)</f>
        <v>-0.50935191000000002</v>
      </c>
      <c r="F18" s="59">
        <f t="shared" ref="F18:AW18" si="0">SUM(F13:F17)</f>
        <v>-0.55335680000000009</v>
      </c>
      <c r="G18" s="59">
        <f t="shared" si="0"/>
        <v>-0.58984853000000004</v>
      </c>
      <c r="H18" s="59">
        <f t="shared" si="0"/>
        <v>-0.55524611000000001</v>
      </c>
      <c r="I18" s="59">
        <f t="shared" si="0"/>
        <v>-0.38347436727272699</v>
      </c>
      <c r="J18" s="59">
        <f t="shared" si="0"/>
        <v>-0.47678290999999995</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224" t="s">
        <v>299</v>
      </c>
      <c r="B19" s="61" t="s">
        <v>198</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224"/>
      <c r="B20" s="61" t="s">
        <v>196</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224"/>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224"/>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224"/>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224"/>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225"/>
      <c r="B25" s="61" t="s">
        <v>315</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-0.50935191000000002</v>
      </c>
      <c r="F26" s="59">
        <f t="shared" ref="F26:BD26" si="2">F18+F25</f>
        <v>-0.55335680000000009</v>
      </c>
      <c r="G26" s="59">
        <f t="shared" si="2"/>
        <v>-0.58984853000000004</v>
      </c>
      <c r="H26" s="59">
        <f t="shared" si="2"/>
        <v>-0.55524611000000001</v>
      </c>
      <c r="I26" s="59">
        <f t="shared" si="2"/>
        <v>-0.38347436727272699</v>
      </c>
      <c r="J26" s="59">
        <f t="shared" si="2"/>
        <v>-0.47678290999999995</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-0.35654633699999999</v>
      </c>
      <c r="F28" s="35">
        <f t="shared" ref="F28:AW28" si="3">F26*F27</f>
        <v>-0.38734976000000004</v>
      </c>
      <c r="G28" s="35">
        <f t="shared" si="3"/>
        <v>-0.41289397100000003</v>
      </c>
      <c r="H28" s="35">
        <f t="shared" si="3"/>
        <v>-0.38867227700000001</v>
      </c>
      <c r="I28" s="35">
        <f t="shared" si="3"/>
        <v>-0.26843205709090889</v>
      </c>
      <c r="J28" s="35">
        <f t="shared" si="3"/>
        <v>-0.33374803699999994</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-0.15280557300000003</v>
      </c>
      <c r="F29" s="35">
        <f t="shared" ref="F29:AW29" si="4">F26-F28</f>
        <v>-0.16600704000000005</v>
      </c>
      <c r="G29" s="35">
        <f t="shared" si="4"/>
        <v>-0.17695455900000001</v>
      </c>
      <c r="H29" s="35">
        <f t="shared" si="4"/>
        <v>-0.166573833</v>
      </c>
      <c r="I29" s="35">
        <f t="shared" si="4"/>
        <v>-0.1150423101818181</v>
      </c>
      <c r="J29" s="35">
        <f t="shared" si="4"/>
        <v>-0.14303487300000001</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-7.9232519333333334E-3</v>
      </c>
      <c r="G30" s="35">
        <f>$E$28/'Fixed data'!$C$7</f>
        <v>-7.9232519333333334E-3</v>
      </c>
      <c r="H30" s="35">
        <f>$E$28/'Fixed data'!$C$7</f>
        <v>-7.9232519333333334E-3</v>
      </c>
      <c r="I30" s="35">
        <f>$E$28/'Fixed data'!$C$7</f>
        <v>-7.9232519333333334E-3</v>
      </c>
      <c r="J30" s="35">
        <f>$E$28/'Fixed data'!$C$7</f>
        <v>-7.9232519333333334E-3</v>
      </c>
      <c r="K30" s="35">
        <f>$E$28/'Fixed data'!$C$7</f>
        <v>-7.9232519333333334E-3</v>
      </c>
      <c r="L30" s="35">
        <f>$E$28/'Fixed data'!$C$7</f>
        <v>-7.9232519333333334E-3</v>
      </c>
      <c r="M30" s="35">
        <f>$E$28/'Fixed data'!$C$7</f>
        <v>-7.9232519333333334E-3</v>
      </c>
      <c r="N30" s="35">
        <f>$E$28/'Fixed data'!$C$7</f>
        <v>-7.9232519333333334E-3</v>
      </c>
      <c r="O30" s="35">
        <f>$E$28/'Fixed data'!$C$7</f>
        <v>-7.9232519333333334E-3</v>
      </c>
      <c r="P30" s="35">
        <f>$E$28/'Fixed data'!$C$7</f>
        <v>-7.9232519333333334E-3</v>
      </c>
      <c r="Q30" s="35">
        <f>$E$28/'Fixed data'!$C$7</f>
        <v>-7.9232519333333334E-3</v>
      </c>
      <c r="R30" s="35">
        <f>$E$28/'Fixed data'!$C$7</f>
        <v>-7.9232519333333334E-3</v>
      </c>
      <c r="S30" s="35">
        <f>$E$28/'Fixed data'!$C$7</f>
        <v>-7.9232519333333334E-3</v>
      </c>
      <c r="T30" s="35">
        <f>$E$28/'Fixed data'!$C$7</f>
        <v>-7.9232519333333334E-3</v>
      </c>
      <c r="U30" s="35">
        <f>$E$28/'Fixed data'!$C$7</f>
        <v>-7.9232519333333334E-3</v>
      </c>
      <c r="V30" s="35">
        <f>$E$28/'Fixed data'!$C$7</f>
        <v>-7.9232519333333334E-3</v>
      </c>
      <c r="W30" s="35">
        <f>$E$28/'Fixed data'!$C$7</f>
        <v>-7.9232519333333334E-3</v>
      </c>
      <c r="X30" s="35">
        <f>$E$28/'Fixed data'!$C$7</f>
        <v>-7.9232519333333334E-3</v>
      </c>
      <c r="Y30" s="35">
        <f>$E$28/'Fixed data'!$C$7</f>
        <v>-7.9232519333333334E-3</v>
      </c>
      <c r="Z30" s="35">
        <f>$E$28/'Fixed data'!$C$7</f>
        <v>-7.9232519333333334E-3</v>
      </c>
      <c r="AA30" s="35">
        <f>$E$28/'Fixed data'!$C$7</f>
        <v>-7.9232519333333334E-3</v>
      </c>
      <c r="AB30" s="35">
        <f>$E$28/'Fixed data'!$C$7</f>
        <v>-7.9232519333333334E-3</v>
      </c>
      <c r="AC30" s="35">
        <f>$E$28/'Fixed data'!$C$7</f>
        <v>-7.9232519333333334E-3</v>
      </c>
      <c r="AD30" s="35">
        <f>$E$28/'Fixed data'!$C$7</f>
        <v>-7.9232519333333334E-3</v>
      </c>
      <c r="AE30" s="35">
        <f>$E$28/'Fixed data'!$C$7</f>
        <v>-7.9232519333333334E-3</v>
      </c>
      <c r="AF30" s="35">
        <f>$E$28/'Fixed data'!$C$7</f>
        <v>-7.9232519333333334E-3</v>
      </c>
      <c r="AG30" s="35">
        <f>$E$28/'Fixed data'!$C$7</f>
        <v>-7.9232519333333334E-3</v>
      </c>
      <c r="AH30" s="35">
        <f>$E$28/'Fixed data'!$C$7</f>
        <v>-7.9232519333333334E-3</v>
      </c>
      <c r="AI30" s="35">
        <f>$E$28/'Fixed data'!$C$7</f>
        <v>-7.9232519333333334E-3</v>
      </c>
      <c r="AJ30" s="35">
        <f>$E$28/'Fixed data'!$C$7</f>
        <v>-7.9232519333333334E-3</v>
      </c>
      <c r="AK30" s="35">
        <f>$E$28/'Fixed data'!$C$7</f>
        <v>-7.9232519333333334E-3</v>
      </c>
      <c r="AL30" s="35">
        <f>$E$28/'Fixed data'!$C$7</f>
        <v>-7.9232519333333334E-3</v>
      </c>
      <c r="AM30" s="35">
        <f>$E$28/'Fixed data'!$C$7</f>
        <v>-7.9232519333333334E-3</v>
      </c>
      <c r="AN30" s="35">
        <f>$E$28/'Fixed data'!$C$7</f>
        <v>-7.9232519333333334E-3</v>
      </c>
      <c r="AO30" s="35">
        <f>$E$28/'Fixed data'!$C$7</f>
        <v>-7.9232519333333334E-3</v>
      </c>
      <c r="AP30" s="35">
        <f>$E$28/'Fixed data'!$C$7</f>
        <v>-7.9232519333333334E-3</v>
      </c>
      <c r="AQ30" s="35">
        <f>$E$28/'Fixed data'!$C$7</f>
        <v>-7.9232519333333334E-3</v>
      </c>
      <c r="AR30" s="35">
        <f>$E$28/'Fixed data'!$C$7</f>
        <v>-7.9232519333333334E-3</v>
      </c>
      <c r="AS30" s="35">
        <f>$E$28/'Fixed data'!$C$7</f>
        <v>-7.9232519333333334E-3</v>
      </c>
      <c r="AT30" s="35">
        <f>$E$28/'Fixed data'!$C$7</f>
        <v>-7.9232519333333334E-3</v>
      </c>
      <c r="AU30" s="35">
        <f>$E$28/'Fixed data'!$C$7</f>
        <v>-7.9232519333333334E-3</v>
      </c>
      <c r="AV30" s="35">
        <f>$E$28/'Fixed data'!$C$7</f>
        <v>-7.9232519333333334E-3</v>
      </c>
      <c r="AW30" s="35">
        <f>$E$28/'Fixed data'!$C$7</f>
        <v>-7.9232519333333334E-3</v>
      </c>
      <c r="AX30" s="35">
        <f>$E$28/'Fixed data'!$C$7</f>
        <v>-7.9232519333333334E-3</v>
      </c>
      <c r="AY30" s="35"/>
      <c r="AZ30" s="35"/>
      <c r="BA30" s="35"/>
      <c r="BB30" s="35"/>
      <c r="BC30" s="35"/>
      <c r="BD30" s="35"/>
    </row>
    <row r="31" spans="1:56" ht="16.5" hidden="1" customHeight="1" outlineLevel="1" x14ac:dyDescent="0.35">
      <c r="A31" s="114"/>
      <c r="B31" s="9" t="s">
        <v>2</v>
      </c>
      <c r="C31" s="11" t="s">
        <v>52</v>
      </c>
      <c r="D31" s="9" t="s">
        <v>39</v>
      </c>
      <c r="F31" s="35"/>
      <c r="G31" s="35">
        <f>$F$28/'Fixed data'!$C$7</f>
        <v>-8.6077724444444462E-3</v>
      </c>
      <c r="H31" s="35">
        <f>$F$28/'Fixed data'!$C$7</f>
        <v>-8.6077724444444462E-3</v>
      </c>
      <c r="I31" s="35">
        <f>$F$28/'Fixed data'!$C$7</f>
        <v>-8.6077724444444462E-3</v>
      </c>
      <c r="J31" s="35">
        <f>$F$28/'Fixed data'!$C$7</f>
        <v>-8.6077724444444462E-3</v>
      </c>
      <c r="K31" s="35">
        <f>$F$28/'Fixed data'!$C$7</f>
        <v>-8.6077724444444462E-3</v>
      </c>
      <c r="L31" s="35">
        <f>$F$28/'Fixed data'!$C$7</f>
        <v>-8.6077724444444462E-3</v>
      </c>
      <c r="M31" s="35">
        <f>$F$28/'Fixed data'!$C$7</f>
        <v>-8.6077724444444462E-3</v>
      </c>
      <c r="N31" s="35">
        <f>$F$28/'Fixed data'!$C$7</f>
        <v>-8.6077724444444462E-3</v>
      </c>
      <c r="O31" s="35">
        <f>$F$28/'Fixed data'!$C$7</f>
        <v>-8.6077724444444462E-3</v>
      </c>
      <c r="P31" s="35">
        <f>$F$28/'Fixed data'!$C$7</f>
        <v>-8.6077724444444462E-3</v>
      </c>
      <c r="Q31" s="35">
        <f>$F$28/'Fixed data'!$C$7</f>
        <v>-8.6077724444444462E-3</v>
      </c>
      <c r="R31" s="35">
        <f>$F$28/'Fixed data'!$C$7</f>
        <v>-8.6077724444444462E-3</v>
      </c>
      <c r="S31" s="35">
        <f>$F$28/'Fixed data'!$C$7</f>
        <v>-8.6077724444444462E-3</v>
      </c>
      <c r="T31" s="35">
        <f>$F$28/'Fixed data'!$C$7</f>
        <v>-8.6077724444444462E-3</v>
      </c>
      <c r="U31" s="35">
        <f>$F$28/'Fixed data'!$C$7</f>
        <v>-8.6077724444444462E-3</v>
      </c>
      <c r="V31" s="35">
        <f>$F$28/'Fixed data'!$C$7</f>
        <v>-8.6077724444444462E-3</v>
      </c>
      <c r="W31" s="35">
        <f>$F$28/'Fixed data'!$C$7</f>
        <v>-8.6077724444444462E-3</v>
      </c>
      <c r="X31" s="35">
        <f>$F$28/'Fixed data'!$C$7</f>
        <v>-8.6077724444444462E-3</v>
      </c>
      <c r="Y31" s="35">
        <f>$F$28/'Fixed data'!$C$7</f>
        <v>-8.6077724444444462E-3</v>
      </c>
      <c r="Z31" s="35">
        <f>$F$28/'Fixed data'!$C$7</f>
        <v>-8.6077724444444462E-3</v>
      </c>
      <c r="AA31" s="35">
        <f>$F$28/'Fixed data'!$C$7</f>
        <v>-8.6077724444444462E-3</v>
      </c>
      <c r="AB31" s="35">
        <f>$F$28/'Fixed data'!$C$7</f>
        <v>-8.6077724444444462E-3</v>
      </c>
      <c r="AC31" s="35">
        <f>$F$28/'Fixed data'!$C$7</f>
        <v>-8.6077724444444462E-3</v>
      </c>
      <c r="AD31" s="35">
        <f>$F$28/'Fixed data'!$C$7</f>
        <v>-8.6077724444444462E-3</v>
      </c>
      <c r="AE31" s="35">
        <f>$F$28/'Fixed data'!$C$7</f>
        <v>-8.6077724444444462E-3</v>
      </c>
      <c r="AF31" s="35">
        <f>$F$28/'Fixed data'!$C$7</f>
        <v>-8.6077724444444462E-3</v>
      </c>
      <c r="AG31" s="35">
        <f>$F$28/'Fixed data'!$C$7</f>
        <v>-8.6077724444444462E-3</v>
      </c>
      <c r="AH31" s="35">
        <f>$F$28/'Fixed data'!$C$7</f>
        <v>-8.6077724444444462E-3</v>
      </c>
      <c r="AI31" s="35">
        <f>$F$28/'Fixed data'!$C$7</f>
        <v>-8.6077724444444462E-3</v>
      </c>
      <c r="AJ31" s="35">
        <f>$F$28/'Fixed data'!$C$7</f>
        <v>-8.6077724444444462E-3</v>
      </c>
      <c r="AK31" s="35">
        <f>$F$28/'Fixed data'!$C$7</f>
        <v>-8.6077724444444462E-3</v>
      </c>
      <c r="AL31" s="35">
        <f>$F$28/'Fixed data'!$C$7</f>
        <v>-8.6077724444444462E-3</v>
      </c>
      <c r="AM31" s="35">
        <f>$F$28/'Fixed data'!$C$7</f>
        <v>-8.6077724444444462E-3</v>
      </c>
      <c r="AN31" s="35">
        <f>$F$28/'Fixed data'!$C$7</f>
        <v>-8.6077724444444462E-3</v>
      </c>
      <c r="AO31" s="35">
        <f>$F$28/'Fixed data'!$C$7</f>
        <v>-8.6077724444444462E-3</v>
      </c>
      <c r="AP31" s="35">
        <f>$F$28/'Fixed data'!$C$7</f>
        <v>-8.6077724444444462E-3</v>
      </c>
      <c r="AQ31" s="35">
        <f>$F$28/'Fixed data'!$C$7</f>
        <v>-8.6077724444444462E-3</v>
      </c>
      <c r="AR31" s="35">
        <f>$F$28/'Fixed data'!$C$7</f>
        <v>-8.6077724444444462E-3</v>
      </c>
      <c r="AS31" s="35">
        <f>$F$28/'Fixed data'!$C$7</f>
        <v>-8.6077724444444462E-3</v>
      </c>
      <c r="AT31" s="35">
        <f>$F$28/'Fixed data'!$C$7</f>
        <v>-8.6077724444444462E-3</v>
      </c>
      <c r="AU31" s="35">
        <f>$F$28/'Fixed data'!$C$7</f>
        <v>-8.6077724444444462E-3</v>
      </c>
      <c r="AV31" s="35">
        <f>$F$28/'Fixed data'!$C$7</f>
        <v>-8.6077724444444462E-3</v>
      </c>
      <c r="AW31" s="35">
        <f>$F$28/'Fixed data'!$C$7</f>
        <v>-8.6077724444444462E-3</v>
      </c>
      <c r="AX31" s="35">
        <f>$F$28/'Fixed data'!$C$7</f>
        <v>-8.6077724444444462E-3</v>
      </c>
      <c r="AY31" s="35">
        <f>$F$28/'Fixed data'!$C$7</f>
        <v>-8.6077724444444462E-3</v>
      </c>
      <c r="AZ31" s="35"/>
      <c r="BA31" s="35"/>
      <c r="BB31" s="35"/>
      <c r="BC31" s="35"/>
      <c r="BD31" s="35"/>
    </row>
    <row r="32" spans="1:56" ht="16.5" hidden="1" customHeight="1" outlineLevel="1" x14ac:dyDescent="0.35">
      <c r="A32" s="114"/>
      <c r="B32" s="9" t="s">
        <v>3</v>
      </c>
      <c r="C32" s="11" t="s">
        <v>53</v>
      </c>
      <c r="D32" s="9" t="s">
        <v>39</v>
      </c>
      <c r="F32" s="35"/>
      <c r="G32" s="35"/>
      <c r="H32" s="35">
        <f>$G$28/'Fixed data'!$C$7</f>
        <v>-9.1754215777777783E-3</v>
      </c>
      <c r="I32" s="35">
        <f>$G$28/'Fixed data'!$C$7</f>
        <v>-9.1754215777777783E-3</v>
      </c>
      <c r="J32" s="35">
        <f>$G$28/'Fixed data'!$C$7</f>
        <v>-9.1754215777777783E-3</v>
      </c>
      <c r="K32" s="35">
        <f>$G$28/'Fixed data'!$C$7</f>
        <v>-9.1754215777777783E-3</v>
      </c>
      <c r="L32" s="35">
        <f>$G$28/'Fixed data'!$C$7</f>
        <v>-9.1754215777777783E-3</v>
      </c>
      <c r="M32" s="35">
        <f>$G$28/'Fixed data'!$C$7</f>
        <v>-9.1754215777777783E-3</v>
      </c>
      <c r="N32" s="35">
        <f>$G$28/'Fixed data'!$C$7</f>
        <v>-9.1754215777777783E-3</v>
      </c>
      <c r="O32" s="35">
        <f>$G$28/'Fixed data'!$C$7</f>
        <v>-9.1754215777777783E-3</v>
      </c>
      <c r="P32" s="35">
        <f>$G$28/'Fixed data'!$C$7</f>
        <v>-9.1754215777777783E-3</v>
      </c>
      <c r="Q32" s="35">
        <f>$G$28/'Fixed data'!$C$7</f>
        <v>-9.1754215777777783E-3</v>
      </c>
      <c r="R32" s="35">
        <f>$G$28/'Fixed data'!$C$7</f>
        <v>-9.1754215777777783E-3</v>
      </c>
      <c r="S32" s="35">
        <f>$G$28/'Fixed data'!$C$7</f>
        <v>-9.1754215777777783E-3</v>
      </c>
      <c r="T32" s="35">
        <f>$G$28/'Fixed data'!$C$7</f>
        <v>-9.1754215777777783E-3</v>
      </c>
      <c r="U32" s="35">
        <f>$G$28/'Fixed data'!$C$7</f>
        <v>-9.1754215777777783E-3</v>
      </c>
      <c r="V32" s="35">
        <f>$G$28/'Fixed data'!$C$7</f>
        <v>-9.1754215777777783E-3</v>
      </c>
      <c r="W32" s="35">
        <f>$G$28/'Fixed data'!$C$7</f>
        <v>-9.1754215777777783E-3</v>
      </c>
      <c r="X32" s="35">
        <f>$G$28/'Fixed data'!$C$7</f>
        <v>-9.1754215777777783E-3</v>
      </c>
      <c r="Y32" s="35">
        <f>$G$28/'Fixed data'!$C$7</f>
        <v>-9.1754215777777783E-3</v>
      </c>
      <c r="Z32" s="35">
        <f>$G$28/'Fixed data'!$C$7</f>
        <v>-9.1754215777777783E-3</v>
      </c>
      <c r="AA32" s="35">
        <f>$G$28/'Fixed data'!$C$7</f>
        <v>-9.1754215777777783E-3</v>
      </c>
      <c r="AB32" s="35">
        <f>$G$28/'Fixed data'!$C$7</f>
        <v>-9.1754215777777783E-3</v>
      </c>
      <c r="AC32" s="35">
        <f>$G$28/'Fixed data'!$C$7</f>
        <v>-9.1754215777777783E-3</v>
      </c>
      <c r="AD32" s="35">
        <f>$G$28/'Fixed data'!$C$7</f>
        <v>-9.1754215777777783E-3</v>
      </c>
      <c r="AE32" s="35">
        <f>$G$28/'Fixed data'!$C$7</f>
        <v>-9.1754215777777783E-3</v>
      </c>
      <c r="AF32" s="35">
        <f>$G$28/'Fixed data'!$C$7</f>
        <v>-9.1754215777777783E-3</v>
      </c>
      <c r="AG32" s="35">
        <f>$G$28/'Fixed data'!$C$7</f>
        <v>-9.1754215777777783E-3</v>
      </c>
      <c r="AH32" s="35">
        <f>$G$28/'Fixed data'!$C$7</f>
        <v>-9.1754215777777783E-3</v>
      </c>
      <c r="AI32" s="35">
        <f>$G$28/'Fixed data'!$C$7</f>
        <v>-9.1754215777777783E-3</v>
      </c>
      <c r="AJ32" s="35">
        <f>$G$28/'Fixed data'!$C$7</f>
        <v>-9.1754215777777783E-3</v>
      </c>
      <c r="AK32" s="35">
        <f>$G$28/'Fixed data'!$C$7</f>
        <v>-9.1754215777777783E-3</v>
      </c>
      <c r="AL32" s="35">
        <f>$G$28/'Fixed data'!$C$7</f>
        <v>-9.1754215777777783E-3</v>
      </c>
      <c r="AM32" s="35">
        <f>$G$28/'Fixed data'!$C$7</f>
        <v>-9.1754215777777783E-3</v>
      </c>
      <c r="AN32" s="35">
        <f>$G$28/'Fixed data'!$C$7</f>
        <v>-9.1754215777777783E-3</v>
      </c>
      <c r="AO32" s="35">
        <f>$G$28/'Fixed data'!$C$7</f>
        <v>-9.1754215777777783E-3</v>
      </c>
      <c r="AP32" s="35">
        <f>$G$28/'Fixed data'!$C$7</f>
        <v>-9.1754215777777783E-3</v>
      </c>
      <c r="AQ32" s="35">
        <f>$G$28/'Fixed data'!$C$7</f>
        <v>-9.1754215777777783E-3</v>
      </c>
      <c r="AR32" s="35">
        <f>$G$28/'Fixed data'!$C$7</f>
        <v>-9.1754215777777783E-3</v>
      </c>
      <c r="AS32" s="35">
        <f>$G$28/'Fixed data'!$C$7</f>
        <v>-9.1754215777777783E-3</v>
      </c>
      <c r="AT32" s="35">
        <f>$G$28/'Fixed data'!$C$7</f>
        <v>-9.1754215777777783E-3</v>
      </c>
      <c r="AU32" s="35">
        <f>$G$28/'Fixed data'!$C$7</f>
        <v>-9.1754215777777783E-3</v>
      </c>
      <c r="AV32" s="35">
        <f>$G$28/'Fixed data'!$C$7</f>
        <v>-9.1754215777777783E-3</v>
      </c>
      <c r="AW32" s="35">
        <f>$G$28/'Fixed data'!$C$7</f>
        <v>-9.1754215777777783E-3</v>
      </c>
      <c r="AX32" s="35">
        <f>$G$28/'Fixed data'!$C$7</f>
        <v>-9.1754215777777783E-3</v>
      </c>
      <c r="AY32" s="35">
        <f>$G$28/'Fixed data'!$C$7</f>
        <v>-9.1754215777777783E-3</v>
      </c>
      <c r="AZ32" s="35">
        <f>$G$28/'Fixed data'!$C$7</f>
        <v>-9.1754215777777783E-3</v>
      </c>
      <c r="BA32" s="35"/>
      <c r="BB32" s="35"/>
      <c r="BC32" s="35"/>
      <c r="BD32" s="35"/>
    </row>
    <row r="33" spans="1:57" ht="16.5" hidden="1" customHeight="1" outlineLevel="1" x14ac:dyDescent="0.35">
      <c r="A33" s="114"/>
      <c r="B33" s="9" t="s">
        <v>4</v>
      </c>
      <c r="C33" s="11" t="s">
        <v>54</v>
      </c>
      <c r="D33" s="9" t="s">
        <v>39</v>
      </c>
      <c r="F33" s="35"/>
      <c r="G33" s="35"/>
      <c r="H33" s="35"/>
      <c r="I33" s="35">
        <f>$H$28/'Fixed data'!$C$7</f>
        <v>-8.6371617111111118E-3</v>
      </c>
      <c r="J33" s="35">
        <f>$H$28/'Fixed data'!$C$7</f>
        <v>-8.6371617111111118E-3</v>
      </c>
      <c r="K33" s="35">
        <f>$H$28/'Fixed data'!$C$7</f>
        <v>-8.6371617111111118E-3</v>
      </c>
      <c r="L33" s="35">
        <f>$H$28/'Fixed data'!$C$7</f>
        <v>-8.6371617111111118E-3</v>
      </c>
      <c r="M33" s="35">
        <f>$H$28/'Fixed data'!$C$7</f>
        <v>-8.6371617111111118E-3</v>
      </c>
      <c r="N33" s="35">
        <f>$H$28/'Fixed data'!$C$7</f>
        <v>-8.6371617111111118E-3</v>
      </c>
      <c r="O33" s="35">
        <f>$H$28/'Fixed data'!$C$7</f>
        <v>-8.6371617111111118E-3</v>
      </c>
      <c r="P33" s="35">
        <f>$H$28/'Fixed data'!$C$7</f>
        <v>-8.6371617111111118E-3</v>
      </c>
      <c r="Q33" s="35">
        <f>$H$28/'Fixed data'!$C$7</f>
        <v>-8.6371617111111118E-3</v>
      </c>
      <c r="R33" s="35">
        <f>$H$28/'Fixed data'!$C$7</f>
        <v>-8.6371617111111118E-3</v>
      </c>
      <c r="S33" s="35">
        <f>$H$28/'Fixed data'!$C$7</f>
        <v>-8.6371617111111118E-3</v>
      </c>
      <c r="T33" s="35">
        <f>$H$28/'Fixed data'!$C$7</f>
        <v>-8.6371617111111118E-3</v>
      </c>
      <c r="U33" s="35">
        <f>$H$28/'Fixed data'!$C$7</f>
        <v>-8.6371617111111118E-3</v>
      </c>
      <c r="V33" s="35">
        <f>$H$28/'Fixed data'!$C$7</f>
        <v>-8.6371617111111118E-3</v>
      </c>
      <c r="W33" s="35">
        <f>$H$28/'Fixed data'!$C$7</f>
        <v>-8.6371617111111118E-3</v>
      </c>
      <c r="X33" s="35">
        <f>$H$28/'Fixed data'!$C$7</f>
        <v>-8.6371617111111118E-3</v>
      </c>
      <c r="Y33" s="35">
        <f>$H$28/'Fixed data'!$C$7</f>
        <v>-8.6371617111111118E-3</v>
      </c>
      <c r="Z33" s="35">
        <f>$H$28/'Fixed data'!$C$7</f>
        <v>-8.6371617111111118E-3</v>
      </c>
      <c r="AA33" s="35">
        <f>$H$28/'Fixed data'!$C$7</f>
        <v>-8.6371617111111118E-3</v>
      </c>
      <c r="AB33" s="35">
        <f>$H$28/'Fixed data'!$C$7</f>
        <v>-8.6371617111111118E-3</v>
      </c>
      <c r="AC33" s="35">
        <f>$H$28/'Fixed data'!$C$7</f>
        <v>-8.6371617111111118E-3</v>
      </c>
      <c r="AD33" s="35">
        <f>$H$28/'Fixed data'!$C$7</f>
        <v>-8.6371617111111118E-3</v>
      </c>
      <c r="AE33" s="35">
        <f>$H$28/'Fixed data'!$C$7</f>
        <v>-8.6371617111111118E-3</v>
      </c>
      <c r="AF33" s="35">
        <f>$H$28/'Fixed data'!$C$7</f>
        <v>-8.6371617111111118E-3</v>
      </c>
      <c r="AG33" s="35">
        <f>$H$28/'Fixed data'!$C$7</f>
        <v>-8.6371617111111118E-3</v>
      </c>
      <c r="AH33" s="35">
        <f>$H$28/'Fixed data'!$C$7</f>
        <v>-8.6371617111111118E-3</v>
      </c>
      <c r="AI33" s="35">
        <f>$H$28/'Fixed data'!$C$7</f>
        <v>-8.6371617111111118E-3</v>
      </c>
      <c r="AJ33" s="35">
        <f>$H$28/'Fixed data'!$C$7</f>
        <v>-8.6371617111111118E-3</v>
      </c>
      <c r="AK33" s="35">
        <f>$H$28/'Fixed data'!$C$7</f>
        <v>-8.6371617111111118E-3</v>
      </c>
      <c r="AL33" s="35">
        <f>$H$28/'Fixed data'!$C$7</f>
        <v>-8.6371617111111118E-3</v>
      </c>
      <c r="AM33" s="35">
        <f>$H$28/'Fixed data'!$C$7</f>
        <v>-8.6371617111111118E-3</v>
      </c>
      <c r="AN33" s="35">
        <f>$H$28/'Fixed data'!$C$7</f>
        <v>-8.6371617111111118E-3</v>
      </c>
      <c r="AO33" s="35">
        <f>$H$28/'Fixed data'!$C$7</f>
        <v>-8.6371617111111118E-3</v>
      </c>
      <c r="AP33" s="35">
        <f>$H$28/'Fixed data'!$C$7</f>
        <v>-8.6371617111111118E-3</v>
      </c>
      <c r="AQ33" s="35">
        <f>$H$28/'Fixed data'!$C$7</f>
        <v>-8.6371617111111118E-3</v>
      </c>
      <c r="AR33" s="35">
        <f>$H$28/'Fixed data'!$C$7</f>
        <v>-8.6371617111111118E-3</v>
      </c>
      <c r="AS33" s="35">
        <f>$H$28/'Fixed data'!$C$7</f>
        <v>-8.6371617111111118E-3</v>
      </c>
      <c r="AT33" s="35">
        <f>$H$28/'Fixed data'!$C$7</f>
        <v>-8.6371617111111118E-3</v>
      </c>
      <c r="AU33" s="35">
        <f>$H$28/'Fixed data'!$C$7</f>
        <v>-8.6371617111111118E-3</v>
      </c>
      <c r="AV33" s="35">
        <f>$H$28/'Fixed data'!$C$7</f>
        <v>-8.6371617111111118E-3</v>
      </c>
      <c r="AW33" s="35">
        <f>$H$28/'Fixed data'!$C$7</f>
        <v>-8.6371617111111118E-3</v>
      </c>
      <c r="AX33" s="35">
        <f>$H$28/'Fixed data'!$C$7</f>
        <v>-8.6371617111111118E-3</v>
      </c>
      <c r="AY33" s="35">
        <f>$H$28/'Fixed data'!$C$7</f>
        <v>-8.6371617111111118E-3</v>
      </c>
      <c r="AZ33" s="35">
        <f>$H$28/'Fixed data'!$C$7</f>
        <v>-8.6371617111111118E-3</v>
      </c>
      <c r="BA33" s="35">
        <f>$H$28/'Fixed data'!$C$7</f>
        <v>-8.6371617111111118E-3</v>
      </c>
      <c r="BB33" s="35"/>
      <c r="BC33" s="35"/>
      <c r="BD33" s="35"/>
    </row>
    <row r="34" spans="1:57" ht="16.5" hidden="1" customHeight="1" outlineLevel="1" x14ac:dyDescent="0.35">
      <c r="A34" s="114"/>
      <c r="B34" s="9" t="s">
        <v>5</v>
      </c>
      <c r="C34" s="11" t="s">
        <v>55</v>
      </c>
      <c r="D34" s="9" t="s">
        <v>39</v>
      </c>
      <c r="F34" s="35"/>
      <c r="G34" s="35"/>
      <c r="H34" s="35"/>
      <c r="I34" s="35"/>
      <c r="J34" s="35">
        <f>$I$28/'Fixed data'!$C$7</f>
        <v>-5.9651568242424201E-3</v>
      </c>
      <c r="K34" s="35">
        <f>$I$28/'Fixed data'!$C$7</f>
        <v>-5.9651568242424201E-3</v>
      </c>
      <c r="L34" s="35">
        <f>$I$28/'Fixed data'!$C$7</f>
        <v>-5.9651568242424201E-3</v>
      </c>
      <c r="M34" s="35">
        <f>$I$28/'Fixed data'!$C$7</f>
        <v>-5.9651568242424201E-3</v>
      </c>
      <c r="N34" s="35">
        <f>$I$28/'Fixed data'!$C$7</f>
        <v>-5.9651568242424201E-3</v>
      </c>
      <c r="O34" s="35">
        <f>$I$28/'Fixed data'!$C$7</f>
        <v>-5.9651568242424201E-3</v>
      </c>
      <c r="P34" s="35">
        <f>$I$28/'Fixed data'!$C$7</f>
        <v>-5.9651568242424201E-3</v>
      </c>
      <c r="Q34" s="35">
        <f>$I$28/'Fixed data'!$C$7</f>
        <v>-5.9651568242424201E-3</v>
      </c>
      <c r="R34" s="35">
        <f>$I$28/'Fixed data'!$C$7</f>
        <v>-5.9651568242424201E-3</v>
      </c>
      <c r="S34" s="35">
        <f>$I$28/'Fixed data'!$C$7</f>
        <v>-5.9651568242424201E-3</v>
      </c>
      <c r="T34" s="35">
        <f>$I$28/'Fixed data'!$C$7</f>
        <v>-5.9651568242424201E-3</v>
      </c>
      <c r="U34" s="35">
        <f>$I$28/'Fixed data'!$C$7</f>
        <v>-5.9651568242424201E-3</v>
      </c>
      <c r="V34" s="35">
        <f>$I$28/'Fixed data'!$C$7</f>
        <v>-5.9651568242424201E-3</v>
      </c>
      <c r="W34" s="35">
        <f>$I$28/'Fixed data'!$C$7</f>
        <v>-5.9651568242424201E-3</v>
      </c>
      <c r="X34" s="35">
        <f>$I$28/'Fixed data'!$C$7</f>
        <v>-5.9651568242424201E-3</v>
      </c>
      <c r="Y34" s="35">
        <f>$I$28/'Fixed data'!$C$7</f>
        <v>-5.9651568242424201E-3</v>
      </c>
      <c r="Z34" s="35">
        <f>$I$28/'Fixed data'!$C$7</f>
        <v>-5.9651568242424201E-3</v>
      </c>
      <c r="AA34" s="35">
        <f>$I$28/'Fixed data'!$C$7</f>
        <v>-5.9651568242424201E-3</v>
      </c>
      <c r="AB34" s="35">
        <f>$I$28/'Fixed data'!$C$7</f>
        <v>-5.9651568242424201E-3</v>
      </c>
      <c r="AC34" s="35">
        <f>$I$28/'Fixed data'!$C$7</f>
        <v>-5.9651568242424201E-3</v>
      </c>
      <c r="AD34" s="35">
        <f>$I$28/'Fixed data'!$C$7</f>
        <v>-5.9651568242424201E-3</v>
      </c>
      <c r="AE34" s="35">
        <f>$I$28/'Fixed data'!$C$7</f>
        <v>-5.9651568242424201E-3</v>
      </c>
      <c r="AF34" s="35">
        <f>$I$28/'Fixed data'!$C$7</f>
        <v>-5.9651568242424201E-3</v>
      </c>
      <c r="AG34" s="35">
        <f>$I$28/'Fixed data'!$C$7</f>
        <v>-5.9651568242424201E-3</v>
      </c>
      <c r="AH34" s="35">
        <f>$I$28/'Fixed data'!$C$7</f>
        <v>-5.9651568242424201E-3</v>
      </c>
      <c r="AI34" s="35">
        <f>$I$28/'Fixed data'!$C$7</f>
        <v>-5.9651568242424201E-3</v>
      </c>
      <c r="AJ34" s="35">
        <f>$I$28/'Fixed data'!$C$7</f>
        <v>-5.9651568242424201E-3</v>
      </c>
      <c r="AK34" s="35">
        <f>$I$28/'Fixed data'!$C$7</f>
        <v>-5.9651568242424201E-3</v>
      </c>
      <c r="AL34" s="35">
        <f>$I$28/'Fixed data'!$C$7</f>
        <v>-5.9651568242424201E-3</v>
      </c>
      <c r="AM34" s="35">
        <f>$I$28/'Fixed data'!$C$7</f>
        <v>-5.9651568242424201E-3</v>
      </c>
      <c r="AN34" s="35">
        <f>$I$28/'Fixed data'!$C$7</f>
        <v>-5.9651568242424201E-3</v>
      </c>
      <c r="AO34" s="35">
        <f>$I$28/'Fixed data'!$C$7</f>
        <v>-5.9651568242424201E-3</v>
      </c>
      <c r="AP34" s="35">
        <f>$I$28/'Fixed data'!$C$7</f>
        <v>-5.9651568242424201E-3</v>
      </c>
      <c r="AQ34" s="35">
        <f>$I$28/'Fixed data'!$C$7</f>
        <v>-5.9651568242424201E-3</v>
      </c>
      <c r="AR34" s="35">
        <f>$I$28/'Fixed data'!$C$7</f>
        <v>-5.9651568242424201E-3</v>
      </c>
      <c r="AS34" s="35">
        <f>$I$28/'Fixed data'!$C$7</f>
        <v>-5.9651568242424201E-3</v>
      </c>
      <c r="AT34" s="35">
        <f>$I$28/'Fixed data'!$C$7</f>
        <v>-5.9651568242424201E-3</v>
      </c>
      <c r="AU34" s="35">
        <f>$I$28/'Fixed data'!$C$7</f>
        <v>-5.9651568242424201E-3</v>
      </c>
      <c r="AV34" s="35">
        <f>$I$28/'Fixed data'!$C$7</f>
        <v>-5.9651568242424201E-3</v>
      </c>
      <c r="AW34" s="35">
        <f>$I$28/'Fixed data'!$C$7</f>
        <v>-5.9651568242424201E-3</v>
      </c>
      <c r="AX34" s="35">
        <f>$I$28/'Fixed data'!$C$7</f>
        <v>-5.9651568242424201E-3</v>
      </c>
      <c r="AY34" s="35">
        <f>$I$28/'Fixed data'!$C$7</f>
        <v>-5.9651568242424201E-3</v>
      </c>
      <c r="AZ34" s="35">
        <f>$I$28/'Fixed data'!$C$7</f>
        <v>-5.9651568242424201E-3</v>
      </c>
      <c r="BA34" s="35">
        <f>$I$28/'Fixed data'!$C$7</f>
        <v>-5.9651568242424201E-3</v>
      </c>
      <c r="BB34" s="35">
        <f>$I$28/'Fixed data'!$C$7</f>
        <v>-5.9651568242424201E-3</v>
      </c>
      <c r="BC34" s="35"/>
      <c r="BD34" s="35"/>
    </row>
    <row r="35" spans="1:57" ht="16.5" hidden="1" customHeight="1" outlineLevel="1" x14ac:dyDescent="0.35">
      <c r="A35" s="114"/>
      <c r="B35" s="9" t="s">
        <v>6</v>
      </c>
      <c r="C35" s="11" t="s">
        <v>56</v>
      </c>
      <c r="D35" s="9" t="s">
        <v>39</v>
      </c>
      <c r="F35" s="35"/>
      <c r="G35" s="35"/>
      <c r="H35" s="35"/>
      <c r="I35" s="35"/>
      <c r="J35" s="35"/>
      <c r="K35" s="35">
        <f>$J$28/'Fixed data'!$C$7</f>
        <v>-7.4166230444444436E-3</v>
      </c>
      <c r="L35" s="35">
        <f>$J$28/'Fixed data'!$C$7</f>
        <v>-7.4166230444444436E-3</v>
      </c>
      <c r="M35" s="35">
        <f>$J$28/'Fixed data'!$C$7</f>
        <v>-7.4166230444444436E-3</v>
      </c>
      <c r="N35" s="35">
        <f>$J$28/'Fixed data'!$C$7</f>
        <v>-7.4166230444444436E-3</v>
      </c>
      <c r="O35" s="35">
        <f>$J$28/'Fixed data'!$C$7</f>
        <v>-7.4166230444444436E-3</v>
      </c>
      <c r="P35" s="35">
        <f>$J$28/'Fixed data'!$C$7</f>
        <v>-7.4166230444444436E-3</v>
      </c>
      <c r="Q35" s="35">
        <f>$J$28/'Fixed data'!$C$7</f>
        <v>-7.4166230444444436E-3</v>
      </c>
      <c r="R35" s="35">
        <f>$J$28/'Fixed data'!$C$7</f>
        <v>-7.4166230444444436E-3</v>
      </c>
      <c r="S35" s="35">
        <f>$J$28/'Fixed data'!$C$7</f>
        <v>-7.4166230444444436E-3</v>
      </c>
      <c r="T35" s="35">
        <f>$J$28/'Fixed data'!$C$7</f>
        <v>-7.4166230444444436E-3</v>
      </c>
      <c r="U35" s="35">
        <f>$J$28/'Fixed data'!$C$7</f>
        <v>-7.4166230444444436E-3</v>
      </c>
      <c r="V35" s="35">
        <f>$J$28/'Fixed data'!$C$7</f>
        <v>-7.4166230444444436E-3</v>
      </c>
      <c r="W35" s="35">
        <f>$J$28/'Fixed data'!$C$7</f>
        <v>-7.4166230444444436E-3</v>
      </c>
      <c r="X35" s="35">
        <f>$J$28/'Fixed data'!$C$7</f>
        <v>-7.4166230444444436E-3</v>
      </c>
      <c r="Y35" s="35">
        <f>$J$28/'Fixed data'!$C$7</f>
        <v>-7.4166230444444436E-3</v>
      </c>
      <c r="Z35" s="35">
        <f>$J$28/'Fixed data'!$C$7</f>
        <v>-7.4166230444444436E-3</v>
      </c>
      <c r="AA35" s="35">
        <f>$J$28/'Fixed data'!$C$7</f>
        <v>-7.4166230444444436E-3</v>
      </c>
      <c r="AB35" s="35">
        <f>$J$28/'Fixed data'!$C$7</f>
        <v>-7.4166230444444436E-3</v>
      </c>
      <c r="AC35" s="35">
        <f>$J$28/'Fixed data'!$C$7</f>
        <v>-7.4166230444444436E-3</v>
      </c>
      <c r="AD35" s="35">
        <f>$J$28/'Fixed data'!$C$7</f>
        <v>-7.4166230444444436E-3</v>
      </c>
      <c r="AE35" s="35">
        <f>$J$28/'Fixed data'!$C$7</f>
        <v>-7.4166230444444436E-3</v>
      </c>
      <c r="AF35" s="35">
        <f>$J$28/'Fixed data'!$C$7</f>
        <v>-7.4166230444444436E-3</v>
      </c>
      <c r="AG35" s="35">
        <f>$J$28/'Fixed data'!$C$7</f>
        <v>-7.4166230444444436E-3</v>
      </c>
      <c r="AH35" s="35">
        <f>$J$28/'Fixed data'!$C$7</f>
        <v>-7.4166230444444436E-3</v>
      </c>
      <c r="AI35" s="35">
        <f>$J$28/'Fixed data'!$C$7</f>
        <v>-7.4166230444444436E-3</v>
      </c>
      <c r="AJ35" s="35">
        <f>$J$28/'Fixed data'!$C$7</f>
        <v>-7.4166230444444436E-3</v>
      </c>
      <c r="AK35" s="35">
        <f>$J$28/'Fixed data'!$C$7</f>
        <v>-7.4166230444444436E-3</v>
      </c>
      <c r="AL35" s="35">
        <f>$J$28/'Fixed data'!$C$7</f>
        <v>-7.4166230444444436E-3</v>
      </c>
      <c r="AM35" s="35">
        <f>$J$28/'Fixed data'!$C$7</f>
        <v>-7.4166230444444436E-3</v>
      </c>
      <c r="AN35" s="35">
        <f>$J$28/'Fixed data'!$C$7</f>
        <v>-7.4166230444444436E-3</v>
      </c>
      <c r="AO35" s="35">
        <f>$J$28/'Fixed data'!$C$7</f>
        <v>-7.4166230444444436E-3</v>
      </c>
      <c r="AP35" s="35">
        <f>$J$28/'Fixed data'!$C$7</f>
        <v>-7.4166230444444436E-3</v>
      </c>
      <c r="AQ35" s="35">
        <f>$J$28/'Fixed data'!$C$7</f>
        <v>-7.4166230444444436E-3</v>
      </c>
      <c r="AR35" s="35">
        <f>$J$28/'Fixed data'!$C$7</f>
        <v>-7.4166230444444436E-3</v>
      </c>
      <c r="AS35" s="35">
        <f>$J$28/'Fixed data'!$C$7</f>
        <v>-7.4166230444444436E-3</v>
      </c>
      <c r="AT35" s="35">
        <f>$J$28/'Fixed data'!$C$7</f>
        <v>-7.4166230444444436E-3</v>
      </c>
      <c r="AU35" s="35">
        <f>$J$28/'Fixed data'!$C$7</f>
        <v>-7.4166230444444436E-3</v>
      </c>
      <c r="AV35" s="35">
        <f>$J$28/'Fixed data'!$C$7</f>
        <v>-7.4166230444444436E-3</v>
      </c>
      <c r="AW35" s="35">
        <f>$J$28/'Fixed data'!$C$7</f>
        <v>-7.4166230444444436E-3</v>
      </c>
      <c r="AX35" s="35">
        <f>$J$28/'Fixed data'!$C$7</f>
        <v>-7.4166230444444436E-3</v>
      </c>
      <c r="AY35" s="35">
        <f>$J$28/'Fixed data'!$C$7</f>
        <v>-7.4166230444444436E-3</v>
      </c>
      <c r="AZ35" s="35">
        <f>$J$28/'Fixed data'!$C$7</f>
        <v>-7.4166230444444436E-3</v>
      </c>
      <c r="BA35" s="35">
        <f>$J$28/'Fixed data'!$C$7</f>
        <v>-7.4166230444444436E-3</v>
      </c>
      <c r="BB35" s="35">
        <f>$J$28/'Fixed data'!$C$7</f>
        <v>-7.4166230444444436E-3</v>
      </c>
      <c r="BC35" s="35">
        <f>$J$28/'Fixed data'!$C$7</f>
        <v>-7.4166230444444436E-3</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-7.9232519333333334E-3</v>
      </c>
      <c r="G60" s="35">
        <f t="shared" si="5"/>
        <v>-1.653102437777778E-2</v>
      </c>
      <c r="H60" s="35">
        <f t="shared" si="5"/>
        <v>-2.570644595555556E-2</v>
      </c>
      <c r="I60" s="35">
        <f t="shared" si="5"/>
        <v>-3.4343607666666671E-2</v>
      </c>
      <c r="J60" s="35">
        <f t="shared" si="5"/>
        <v>-4.0308764490909088E-2</v>
      </c>
      <c r="K60" s="35">
        <f t="shared" si="5"/>
        <v>-4.7725387535353533E-2</v>
      </c>
      <c r="L60" s="35">
        <f t="shared" si="5"/>
        <v>-4.7725387535353533E-2</v>
      </c>
      <c r="M60" s="35">
        <f t="shared" si="5"/>
        <v>-4.7725387535353533E-2</v>
      </c>
      <c r="N60" s="35">
        <f t="shared" si="5"/>
        <v>-4.7725387535353533E-2</v>
      </c>
      <c r="O60" s="35">
        <f t="shared" si="5"/>
        <v>-4.7725387535353533E-2</v>
      </c>
      <c r="P60" s="35">
        <f t="shared" si="5"/>
        <v>-4.7725387535353533E-2</v>
      </c>
      <c r="Q60" s="35">
        <f t="shared" si="5"/>
        <v>-4.7725387535353533E-2</v>
      </c>
      <c r="R60" s="35">
        <f t="shared" si="5"/>
        <v>-4.7725387535353533E-2</v>
      </c>
      <c r="S60" s="35">
        <f t="shared" si="5"/>
        <v>-4.7725387535353533E-2</v>
      </c>
      <c r="T60" s="35">
        <f t="shared" si="5"/>
        <v>-4.7725387535353533E-2</v>
      </c>
      <c r="U60" s="35">
        <f t="shared" si="5"/>
        <v>-4.7725387535353533E-2</v>
      </c>
      <c r="V60" s="35">
        <f t="shared" si="5"/>
        <v>-4.7725387535353533E-2</v>
      </c>
      <c r="W60" s="35">
        <f t="shared" si="5"/>
        <v>-4.7725387535353533E-2</v>
      </c>
      <c r="X60" s="35">
        <f t="shared" si="5"/>
        <v>-4.7725387535353533E-2</v>
      </c>
      <c r="Y60" s="35">
        <f t="shared" si="5"/>
        <v>-4.7725387535353533E-2</v>
      </c>
      <c r="Z60" s="35">
        <f t="shared" si="5"/>
        <v>-4.7725387535353533E-2</v>
      </c>
      <c r="AA60" s="35">
        <f t="shared" si="5"/>
        <v>-4.7725387535353533E-2</v>
      </c>
      <c r="AB60" s="35">
        <f t="shared" si="5"/>
        <v>-4.7725387535353533E-2</v>
      </c>
      <c r="AC60" s="35">
        <f t="shared" si="5"/>
        <v>-4.7725387535353533E-2</v>
      </c>
      <c r="AD60" s="35">
        <f t="shared" si="5"/>
        <v>-4.7725387535353533E-2</v>
      </c>
      <c r="AE60" s="35">
        <f t="shared" si="5"/>
        <v>-4.7725387535353533E-2</v>
      </c>
      <c r="AF60" s="35">
        <f t="shared" si="5"/>
        <v>-4.7725387535353533E-2</v>
      </c>
      <c r="AG60" s="35">
        <f t="shared" si="5"/>
        <v>-4.7725387535353533E-2</v>
      </c>
      <c r="AH60" s="35">
        <f t="shared" si="5"/>
        <v>-4.7725387535353533E-2</v>
      </c>
      <c r="AI60" s="35">
        <f t="shared" si="5"/>
        <v>-4.7725387535353533E-2</v>
      </c>
      <c r="AJ60" s="35">
        <f t="shared" si="5"/>
        <v>-4.7725387535353533E-2</v>
      </c>
      <c r="AK60" s="35">
        <f t="shared" si="5"/>
        <v>-4.7725387535353533E-2</v>
      </c>
      <c r="AL60" s="35">
        <f t="shared" si="5"/>
        <v>-4.7725387535353533E-2</v>
      </c>
      <c r="AM60" s="35">
        <f t="shared" si="5"/>
        <v>-4.7725387535353533E-2</v>
      </c>
      <c r="AN60" s="35">
        <f t="shared" si="5"/>
        <v>-4.7725387535353533E-2</v>
      </c>
      <c r="AO60" s="35">
        <f t="shared" si="5"/>
        <v>-4.7725387535353533E-2</v>
      </c>
      <c r="AP60" s="35">
        <f t="shared" si="5"/>
        <v>-4.7725387535353533E-2</v>
      </c>
      <c r="AQ60" s="35">
        <f t="shared" si="5"/>
        <v>-4.7725387535353533E-2</v>
      </c>
      <c r="AR60" s="35">
        <f t="shared" si="5"/>
        <v>-4.7725387535353533E-2</v>
      </c>
      <c r="AS60" s="35">
        <f t="shared" si="5"/>
        <v>-4.7725387535353533E-2</v>
      </c>
      <c r="AT60" s="35">
        <f t="shared" si="5"/>
        <v>-4.7725387535353533E-2</v>
      </c>
      <c r="AU60" s="35">
        <f t="shared" si="5"/>
        <v>-4.7725387535353533E-2</v>
      </c>
      <c r="AV60" s="35">
        <f t="shared" si="5"/>
        <v>-4.7725387535353533E-2</v>
      </c>
      <c r="AW60" s="35">
        <f t="shared" si="5"/>
        <v>-4.7725387535353533E-2</v>
      </c>
      <c r="AX60" s="35">
        <f t="shared" si="5"/>
        <v>-4.7725387535353533E-2</v>
      </c>
      <c r="AY60" s="35">
        <f t="shared" si="5"/>
        <v>-3.98021356020202E-2</v>
      </c>
      <c r="AZ60" s="35">
        <f t="shared" si="5"/>
        <v>-3.1194363157575754E-2</v>
      </c>
      <c r="BA60" s="35">
        <f t="shared" si="5"/>
        <v>-2.2018941579797974E-2</v>
      </c>
      <c r="BB60" s="35">
        <f t="shared" si="5"/>
        <v>-1.3381779868686864E-2</v>
      </c>
      <c r="BC60" s="35">
        <f t="shared" si="5"/>
        <v>-7.4166230444444436E-3</v>
      </c>
      <c r="BD60" s="35">
        <f t="shared" si="5"/>
        <v>0</v>
      </c>
    </row>
    <row r="61" spans="1:56" ht="17.25" hidden="1" customHeight="1" outlineLevel="1" x14ac:dyDescent="0.35">
      <c r="A61" s="114"/>
      <c r="B61" s="9" t="s">
        <v>34</v>
      </c>
      <c r="C61" s="9" t="s">
        <v>60</v>
      </c>
      <c r="D61" s="9" t="s">
        <v>39</v>
      </c>
      <c r="E61" s="35">
        <v>0</v>
      </c>
      <c r="F61" s="35">
        <f>E62</f>
        <v>-0.35654633699999999</v>
      </c>
      <c r="G61" s="35">
        <f t="shared" ref="G61:BD61" si="6">F62</f>
        <v>-0.73597284506666671</v>
      </c>
      <c r="H61" s="35">
        <f t="shared" si="6"/>
        <v>-1.132335791688889</v>
      </c>
      <c r="I61" s="35">
        <f t="shared" si="6"/>
        <v>-1.4953016227333333</v>
      </c>
      <c r="J61" s="35">
        <f t="shared" si="6"/>
        <v>-1.7293900721575755</v>
      </c>
      <c r="K61" s="35">
        <f t="shared" si="6"/>
        <v>-2.0228293446666665</v>
      </c>
      <c r="L61" s="35">
        <f t="shared" si="6"/>
        <v>-1.9751039571313129</v>
      </c>
      <c r="M61" s="35">
        <f t="shared" si="6"/>
        <v>-1.9273785695959593</v>
      </c>
      <c r="N61" s="35">
        <f t="shared" si="6"/>
        <v>-1.8796531820606057</v>
      </c>
      <c r="O61" s="35">
        <f t="shared" si="6"/>
        <v>-1.8319277945252521</v>
      </c>
      <c r="P61" s="35">
        <f t="shared" si="6"/>
        <v>-1.7842024069898985</v>
      </c>
      <c r="Q61" s="35">
        <f t="shared" si="6"/>
        <v>-1.7364770194545449</v>
      </c>
      <c r="R61" s="35">
        <f t="shared" si="6"/>
        <v>-1.6887516319191913</v>
      </c>
      <c r="S61" s="35">
        <f t="shared" si="6"/>
        <v>-1.6410262443838377</v>
      </c>
      <c r="T61" s="35">
        <f t="shared" si="6"/>
        <v>-1.5933008568484841</v>
      </c>
      <c r="U61" s="35">
        <f t="shared" si="6"/>
        <v>-1.5455754693131305</v>
      </c>
      <c r="V61" s="35">
        <f t="shared" si="6"/>
        <v>-1.4978500817777769</v>
      </c>
      <c r="W61" s="35">
        <f t="shared" si="6"/>
        <v>-1.4501246942424233</v>
      </c>
      <c r="X61" s="35">
        <f t="shared" si="6"/>
        <v>-1.4023993067070697</v>
      </c>
      <c r="Y61" s="35">
        <f t="shared" si="6"/>
        <v>-1.3546739191717161</v>
      </c>
      <c r="Z61" s="35">
        <f t="shared" si="6"/>
        <v>-1.3069485316363625</v>
      </c>
      <c r="AA61" s="35">
        <f t="shared" si="6"/>
        <v>-1.2592231441010089</v>
      </c>
      <c r="AB61" s="35">
        <f t="shared" si="6"/>
        <v>-1.2114977565656553</v>
      </c>
      <c r="AC61" s="35">
        <f t="shared" si="6"/>
        <v>-1.1637723690303017</v>
      </c>
      <c r="AD61" s="35">
        <f t="shared" si="6"/>
        <v>-1.1160469814949481</v>
      </c>
      <c r="AE61" s="35">
        <f t="shared" si="6"/>
        <v>-1.0683215939595945</v>
      </c>
      <c r="AF61" s="35">
        <f t="shared" si="6"/>
        <v>-1.0205962064242409</v>
      </c>
      <c r="AG61" s="35">
        <f t="shared" si="6"/>
        <v>-0.97287081888888738</v>
      </c>
      <c r="AH61" s="35">
        <f t="shared" si="6"/>
        <v>-0.92514543135353389</v>
      </c>
      <c r="AI61" s="35">
        <f t="shared" si="6"/>
        <v>-0.8774200438181804</v>
      </c>
      <c r="AJ61" s="35">
        <f t="shared" si="6"/>
        <v>-0.8296946562828269</v>
      </c>
      <c r="AK61" s="35">
        <f t="shared" si="6"/>
        <v>-0.78196926874747341</v>
      </c>
      <c r="AL61" s="35">
        <f t="shared" si="6"/>
        <v>-0.73424388121211992</v>
      </c>
      <c r="AM61" s="35">
        <f t="shared" si="6"/>
        <v>-0.68651849367676643</v>
      </c>
      <c r="AN61" s="35">
        <f t="shared" si="6"/>
        <v>-0.63879310614141294</v>
      </c>
      <c r="AO61" s="35">
        <f t="shared" si="6"/>
        <v>-0.59106771860605944</v>
      </c>
      <c r="AP61" s="35">
        <f t="shared" si="6"/>
        <v>-0.54334233107070595</v>
      </c>
      <c r="AQ61" s="35">
        <f t="shared" si="6"/>
        <v>-0.49561694353535241</v>
      </c>
      <c r="AR61" s="35">
        <f t="shared" si="6"/>
        <v>-0.44789155599999886</v>
      </c>
      <c r="AS61" s="35">
        <f t="shared" si="6"/>
        <v>-0.40016616846464531</v>
      </c>
      <c r="AT61" s="35">
        <f t="shared" si="6"/>
        <v>-0.35244078092929176</v>
      </c>
      <c r="AU61" s="35">
        <f t="shared" si="6"/>
        <v>-0.30471539339393822</v>
      </c>
      <c r="AV61" s="35">
        <f t="shared" si="6"/>
        <v>-0.25699000585858467</v>
      </c>
      <c r="AW61" s="35">
        <f t="shared" si="6"/>
        <v>-0.20926461832323112</v>
      </c>
      <c r="AX61" s="35">
        <f t="shared" si="6"/>
        <v>-0.16153923078787757</v>
      </c>
      <c r="AY61" s="35">
        <f t="shared" si="6"/>
        <v>-0.11381384325252404</v>
      </c>
      <c r="AZ61" s="35">
        <f t="shared" si="6"/>
        <v>-7.4011707650503841E-2</v>
      </c>
      <c r="BA61" s="35">
        <f t="shared" si="6"/>
        <v>-4.2817344492928087E-2</v>
      </c>
      <c r="BB61" s="35">
        <f t="shared" si="6"/>
        <v>-2.0798402913130114E-2</v>
      </c>
      <c r="BC61" s="35">
        <f t="shared" si="6"/>
        <v>-7.4166230444432501E-3</v>
      </c>
      <c r="BD61" s="35">
        <f t="shared" si="6"/>
        <v>1.1934897514720433E-15</v>
      </c>
    </row>
    <row r="62" spans="1:56" ht="16.5" hidden="1" customHeight="1" outlineLevel="1" x14ac:dyDescent="0.3">
      <c r="A62" s="114"/>
      <c r="B62" s="9" t="s">
        <v>33</v>
      </c>
      <c r="C62" s="9" t="s">
        <v>67</v>
      </c>
      <c r="D62" s="9" t="s">
        <v>39</v>
      </c>
      <c r="E62" s="35">
        <f t="shared" ref="E62:BD62" si="7">E28-E60+E61</f>
        <v>-0.35654633699999999</v>
      </c>
      <c r="F62" s="35">
        <f t="shared" si="7"/>
        <v>-0.73597284506666671</v>
      </c>
      <c r="G62" s="35">
        <f t="shared" si="7"/>
        <v>-1.132335791688889</v>
      </c>
      <c r="H62" s="35">
        <f t="shared" si="7"/>
        <v>-1.4953016227333333</v>
      </c>
      <c r="I62" s="35">
        <f t="shared" si="7"/>
        <v>-1.7293900721575755</v>
      </c>
      <c r="J62" s="35">
        <f t="shared" si="7"/>
        <v>-2.0228293446666665</v>
      </c>
      <c r="K62" s="35">
        <f t="shared" si="7"/>
        <v>-1.9751039571313129</v>
      </c>
      <c r="L62" s="35">
        <f t="shared" si="7"/>
        <v>-1.9273785695959593</v>
      </c>
      <c r="M62" s="35">
        <f t="shared" si="7"/>
        <v>-1.8796531820606057</v>
      </c>
      <c r="N62" s="35">
        <f t="shared" si="7"/>
        <v>-1.8319277945252521</v>
      </c>
      <c r="O62" s="35">
        <f t="shared" si="7"/>
        <v>-1.7842024069898985</v>
      </c>
      <c r="P62" s="35">
        <f t="shared" si="7"/>
        <v>-1.7364770194545449</v>
      </c>
      <c r="Q62" s="35">
        <f t="shared" si="7"/>
        <v>-1.6887516319191913</v>
      </c>
      <c r="R62" s="35">
        <f t="shared" si="7"/>
        <v>-1.6410262443838377</v>
      </c>
      <c r="S62" s="35">
        <f t="shared" si="7"/>
        <v>-1.5933008568484841</v>
      </c>
      <c r="T62" s="35">
        <f t="shared" si="7"/>
        <v>-1.5455754693131305</v>
      </c>
      <c r="U62" s="35">
        <f t="shared" si="7"/>
        <v>-1.4978500817777769</v>
      </c>
      <c r="V62" s="35">
        <f t="shared" si="7"/>
        <v>-1.4501246942424233</v>
      </c>
      <c r="W62" s="35">
        <f t="shared" si="7"/>
        <v>-1.4023993067070697</v>
      </c>
      <c r="X62" s="35">
        <f t="shared" si="7"/>
        <v>-1.3546739191717161</v>
      </c>
      <c r="Y62" s="35">
        <f t="shared" si="7"/>
        <v>-1.3069485316363625</v>
      </c>
      <c r="Z62" s="35">
        <f t="shared" si="7"/>
        <v>-1.2592231441010089</v>
      </c>
      <c r="AA62" s="35">
        <f t="shared" si="7"/>
        <v>-1.2114977565656553</v>
      </c>
      <c r="AB62" s="35">
        <f t="shared" si="7"/>
        <v>-1.1637723690303017</v>
      </c>
      <c r="AC62" s="35">
        <f t="shared" si="7"/>
        <v>-1.1160469814949481</v>
      </c>
      <c r="AD62" s="35">
        <f t="shared" si="7"/>
        <v>-1.0683215939595945</v>
      </c>
      <c r="AE62" s="35">
        <f t="shared" si="7"/>
        <v>-1.0205962064242409</v>
      </c>
      <c r="AF62" s="35">
        <f t="shared" si="7"/>
        <v>-0.97287081888888738</v>
      </c>
      <c r="AG62" s="35">
        <f t="shared" si="7"/>
        <v>-0.92514543135353389</v>
      </c>
      <c r="AH62" s="35">
        <f t="shared" si="7"/>
        <v>-0.8774200438181804</v>
      </c>
      <c r="AI62" s="35">
        <f t="shared" si="7"/>
        <v>-0.8296946562828269</v>
      </c>
      <c r="AJ62" s="35">
        <f t="shared" si="7"/>
        <v>-0.78196926874747341</v>
      </c>
      <c r="AK62" s="35">
        <f t="shared" si="7"/>
        <v>-0.73424388121211992</v>
      </c>
      <c r="AL62" s="35">
        <f t="shared" si="7"/>
        <v>-0.68651849367676643</v>
      </c>
      <c r="AM62" s="35">
        <f t="shared" si="7"/>
        <v>-0.63879310614141294</v>
      </c>
      <c r="AN62" s="35">
        <f t="shared" si="7"/>
        <v>-0.59106771860605944</v>
      </c>
      <c r="AO62" s="35">
        <f t="shared" si="7"/>
        <v>-0.54334233107070595</v>
      </c>
      <c r="AP62" s="35">
        <f t="shared" si="7"/>
        <v>-0.49561694353535241</v>
      </c>
      <c r="AQ62" s="35">
        <f t="shared" si="7"/>
        <v>-0.44789155599999886</v>
      </c>
      <c r="AR62" s="35">
        <f t="shared" si="7"/>
        <v>-0.40016616846464531</v>
      </c>
      <c r="AS62" s="35">
        <f t="shared" si="7"/>
        <v>-0.35244078092929176</v>
      </c>
      <c r="AT62" s="35">
        <f t="shared" si="7"/>
        <v>-0.30471539339393822</v>
      </c>
      <c r="AU62" s="35">
        <f t="shared" si="7"/>
        <v>-0.25699000585858467</v>
      </c>
      <c r="AV62" s="35">
        <f t="shared" si="7"/>
        <v>-0.20926461832323112</v>
      </c>
      <c r="AW62" s="35">
        <f t="shared" si="7"/>
        <v>-0.16153923078787757</v>
      </c>
      <c r="AX62" s="35">
        <f t="shared" si="7"/>
        <v>-0.11381384325252404</v>
      </c>
      <c r="AY62" s="35">
        <f t="shared" si="7"/>
        <v>-7.4011707650503841E-2</v>
      </c>
      <c r="AZ62" s="35">
        <f t="shared" si="7"/>
        <v>-4.2817344492928087E-2</v>
      </c>
      <c r="BA62" s="35">
        <f t="shared" si="7"/>
        <v>-2.0798402913130114E-2</v>
      </c>
      <c r="BB62" s="35">
        <f t="shared" si="7"/>
        <v>-7.4166230444432501E-3</v>
      </c>
      <c r="BC62" s="35">
        <f t="shared" si="7"/>
        <v>1.1934897514720433E-15</v>
      </c>
      <c r="BD62" s="35">
        <f t="shared" si="7"/>
        <v>1.1934897514720433E-15</v>
      </c>
    </row>
    <row r="63" spans="1:56" ht="16.5" collapsed="1" x14ac:dyDescent="0.3">
      <c r="A63" s="114"/>
      <c r="B63" s="9" t="s">
        <v>8</v>
      </c>
      <c r="C63" s="11" t="s">
        <v>66</v>
      </c>
      <c r="D63" s="9" t="s">
        <v>39</v>
      </c>
      <c r="E63" s="35">
        <f>AVERAGE(E61:E62)*'Fixed data'!$C$3</f>
        <v>-7.1309267399999997E-3</v>
      </c>
      <c r="F63" s="35">
        <f>AVERAGE(F61:F62)*'Fixed data'!$C$3</f>
        <v>-2.1850383641333335E-2</v>
      </c>
      <c r="G63" s="35">
        <f>AVERAGE(G61:G62)*'Fixed data'!$C$3</f>
        <v>-3.7366172735111114E-2</v>
      </c>
      <c r="H63" s="35">
        <f>AVERAGE(H61:H62)*'Fixed data'!$C$3</f>
        <v>-5.2552748288444445E-2</v>
      </c>
      <c r="I63" s="35">
        <f>AVERAGE(I61:I62)*'Fixed data'!$C$3</f>
        <v>-6.4493833897818181E-2</v>
      </c>
      <c r="J63" s="35">
        <f>AVERAGE(J61:J62)*'Fixed data'!$C$3</f>
        <v>-7.5044388336484844E-2</v>
      </c>
      <c r="K63" s="35">
        <f>AVERAGE(K61:K62)*'Fixed data'!$C$3</f>
        <v>-7.995866603595958E-2</v>
      </c>
      <c r="L63" s="35">
        <f>AVERAGE(L61:L62)*'Fixed data'!$C$3</f>
        <v>-7.8049650534545448E-2</v>
      </c>
      <c r="M63" s="35">
        <f>AVERAGE(M61:M62)*'Fixed data'!$C$3</f>
        <v>-7.6140635033131301E-2</v>
      </c>
      <c r="N63" s="35">
        <f>AVERAGE(N61:N62)*'Fixed data'!$C$3</f>
        <v>-7.4231619531717169E-2</v>
      </c>
      <c r="O63" s="35">
        <f>AVERAGE(O61:O62)*'Fixed data'!$C$3</f>
        <v>-7.2322604030303009E-2</v>
      </c>
      <c r="P63" s="35">
        <f>AVERAGE(P61:P62)*'Fixed data'!$C$3</f>
        <v>-7.0413588528888876E-2</v>
      </c>
      <c r="Q63" s="35">
        <f>AVERAGE(Q61:Q62)*'Fixed data'!$C$3</f>
        <v>-6.8504573027474716E-2</v>
      </c>
      <c r="R63" s="35">
        <f>AVERAGE(R61:R62)*'Fixed data'!$C$3</f>
        <v>-6.6595557526060584E-2</v>
      </c>
      <c r="S63" s="35">
        <f>AVERAGE(S61:S62)*'Fixed data'!$C$3</f>
        <v>-6.4686542024646437E-2</v>
      </c>
      <c r="T63" s="35">
        <f>AVERAGE(T61:T62)*'Fixed data'!$C$3</f>
        <v>-6.2777526523232291E-2</v>
      </c>
      <c r="U63" s="35">
        <f>AVERAGE(U61:U62)*'Fixed data'!$C$3</f>
        <v>-6.0868511021818145E-2</v>
      </c>
      <c r="V63" s="35">
        <f>AVERAGE(V61:V62)*'Fixed data'!$C$3</f>
        <v>-5.8959495520404012E-2</v>
      </c>
      <c r="W63" s="35">
        <f>AVERAGE(W61:W62)*'Fixed data'!$C$3</f>
        <v>-5.7050480018989859E-2</v>
      </c>
      <c r="X63" s="35">
        <f>AVERAGE(X61:X62)*'Fixed data'!$C$3</f>
        <v>-5.514146451757572E-2</v>
      </c>
      <c r="Y63" s="35">
        <f>AVERAGE(Y61:Y62)*'Fixed data'!$C$3</f>
        <v>-5.3232449016161566E-2</v>
      </c>
      <c r="Z63" s="35">
        <f>AVERAGE(Z61:Z62)*'Fixed data'!$C$3</f>
        <v>-5.1323433514747434E-2</v>
      </c>
      <c r="AA63" s="35">
        <f>AVERAGE(AA61:AA62)*'Fixed data'!$C$3</f>
        <v>-4.9414418013333281E-2</v>
      </c>
      <c r="AB63" s="35">
        <f>AVERAGE(AB61:AB62)*'Fixed data'!$C$3</f>
        <v>-4.7505402511919148E-2</v>
      </c>
      <c r="AC63" s="35">
        <f>AVERAGE(AC61:AC62)*'Fixed data'!$C$3</f>
        <v>-4.5596387010504995E-2</v>
      </c>
      <c r="AD63" s="35">
        <f>AVERAGE(AD61:AD62)*'Fixed data'!$C$3</f>
        <v>-4.3687371509090855E-2</v>
      </c>
      <c r="AE63" s="35">
        <f>AVERAGE(AE61:AE62)*'Fixed data'!$C$3</f>
        <v>-4.1778356007676702E-2</v>
      </c>
      <c r="AF63" s="35">
        <f>AVERAGE(AF61:AF62)*'Fixed data'!$C$3</f>
        <v>-3.986934050626257E-2</v>
      </c>
      <c r="AG63" s="35">
        <f>AVERAGE(AG61:AG62)*'Fixed data'!$C$3</f>
        <v>-3.7960325004848423E-2</v>
      </c>
      <c r="AH63" s="35">
        <f>AVERAGE(AH61:AH62)*'Fixed data'!$C$3</f>
        <v>-3.6051309503434291E-2</v>
      </c>
      <c r="AI63" s="35">
        <f>AVERAGE(AI61:AI62)*'Fixed data'!$C$3</f>
        <v>-3.4142294002020145E-2</v>
      </c>
      <c r="AJ63" s="35">
        <f>AVERAGE(AJ61:AJ62)*'Fixed data'!$C$3</f>
        <v>-3.2233278500606012E-2</v>
      </c>
      <c r="AK63" s="35">
        <f>AVERAGE(AK61:AK62)*'Fixed data'!$C$3</f>
        <v>-3.0324262999191866E-2</v>
      </c>
      <c r="AL63" s="35">
        <f>AVERAGE(AL61:AL62)*'Fixed data'!$C$3</f>
        <v>-2.841524749777773E-2</v>
      </c>
      <c r="AM63" s="35">
        <f>AVERAGE(AM61:AM62)*'Fixed data'!$C$3</f>
        <v>-2.6506231996363587E-2</v>
      </c>
      <c r="AN63" s="35">
        <f>AVERAGE(AN61:AN62)*'Fixed data'!$C$3</f>
        <v>-2.4597216494949451E-2</v>
      </c>
      <c r="AO63" s="35">
        <f>AVERAGE(AO61:AO62)*'Fixed data'!$C$3</f>
        <v>-2.2688200993535305E-2</v>
      </c>
      <c r="AP63" s="35">
        <f>AVERAGE(AP61:AP62)*'Fixed data'!$C$3</f>
        <v>-2.0779185492121165E-2</v>
      </c>
      <c r="AQ63" s="35">
        <f>AVERAGE(AQ61:AQ62)*'Fixed data'!$C$3</f>
        <v>-1.8870169990707026E-2</v>
      </c>
      <c r="AR63" s="35">
        <f>AVERAGE(AR61:AR62)*'Fixed data'!$C$3</f>
        <v>-1.6961154489292883E-2</v>
      </c>
      <c r="AS63" s="35">
        <f>AVERAGE(AS61:AS62)*'Fixed data'!$C$3</f>
        <v>-1.5052138987878744E-2</v>
      </c>
      <c r="AT63" s="35">
        <f>AVERAGE(AT61:AT62)*'Fixed data'!$C$3</f>
        <v>-1.3143123486464599E-2</v>
      </c>
      <c r="AU63" s="35">
        <f>AVERAGE(AU61:AU62)*'Fixed data'!$C$3</f>
        <v>-1.123410798505046E-2</v>
      </c>
      <c r="AV63" s="35">
        <f>AVERAGE(AV61:AV62)*'Fixed data'!$C$3</f>
        <v>-9.3250924836363169E-3</v>
      </c>
      <c r="AW63" s="35">
        <f>AVERAGE(AW61:AW62)*'Fixed data'!$C$3</f>
        <v>-7.416076982222174E-3</v>
      </c>
      <c r="AX63" s="35">
        <f>AVERAGE(AX61:AX62)*'Fixed data'!$C$3</f>
        <v>-5.507061480808032E-3</v>
      </c>
      <c r="AY63" s="35">
        <f>AVERAGE(AY61:AY62)*'Fixed data'!$C$3</f>
        <v>-3.7565110180605575E-3</v>
      </c>
      <c r="AZ63" s="35">
        <f>AVERAGE(AZ61:AZ62)*'Fixed data'!$C$3</f>
        <v>-2.3365810428686387E-3</v>
      </c>
      <c r="BA63" s="35">
        <f>AVERAGE(BA61:BA62)*'Fixed data'!$C$3</f>
        <v>-1.2723149481211641E-3</v>
      </c>
      <c r="BB63" s="35">
        <f>AVERAGE(BB61:BB62)*'Fixed data'!$C$3</f>
        <v>-5.6430051915146737E-4</v>
      </c>
      <c r="BC63" s="35">
        <f>AVERAGE(BC61:BC62)*'Fixed data'!$C$3</f>
        <v>-1.4833246088884113E-4</v>
      </c>
      <c r="BD63" s="35">
        <f>AVERAGE(BD61:BD62)*'Fixed data'!$C$3</f>
        <v>4.773959005888173E-17</v>
      </c>
    </row>
    <row r="64" spans="1:56" ht="15.75" thickBot="1" x14ac:dyDescent="0.35">
      <c r="A64" s="113"/>
      <c r="B64" s="12" t="s">
        <v>93</v>
      </c>
      <c r="C64" s="12" t="s">
        <v>44</v>
      </c>
      <c r="D64" s="12" t="s">
        <v>39</v>
      </c>
      <c r="E64" s="53">
        <f t="shared" ref="E64:BD64" si="8">E29+E60+E63</f>
        <v>-0.15993649974000002</v>
      </c>
      <c r="F64" s="53">
        <f t="shared" si="8"/>
        <v>-0.19578067557466672</v>
      </c>
      <c r="G64" s="53">
        <f t="shared" si="8"/>
        <v>-0.23085175611288891</v>
      </c>
      <c r="H64" s="53">
        <f t="shared" si="8"/>
        <v>-0.244833027244</v>
      </c>
      <c r="I64" s="53">
        <f t="shared" si="8"/>
        <v>-0.21387975174630294</v>
      </c>
      <c r="J64" s="53">
        <f t="shared" si="8"/>
        <v>-0.25838802582739395</v>
      </c>
      <c r="K64" s="53">
        <f t="shared" si="8"/>
        <v>-0.12768405357131313</v>
      </c>
      <c r="L64" s="53">
        <f t="shared" si="8"/>
        <v>-0.12577503806989898</v>
      </c>
      <c r="M64" s="53">
        <f t="shared" si="8"/>
        <v>-0.12386602256848483</v>
      </c>
      <c r="N64" s="53">
        <f t="shared" si="8"/>
        <v>-0.1219570070670707</v>
      </c>
      <c r="O64" s="53">
        <f t="shared" si="8"/>
        <v>-0.12004799156565654</v>
      </c>
      <c r="P64" s="53">
        <f t="shared" si="8"/>
        <v>-0.11813897606424241</v>
      </c>
      <c r="Q64" s="53">
        <f t="shared" si="8"/>
        <v>-0.11622996056282825</v>
      </c>
      <c r="R64" s="53">
        <f t="shared" si="8"/>
        <v>-0.11432094506141412</v>
      </c>
      <c r="S64" s="53">
        <f t="shared" si="8"/>
        <v>-0.11241192955999997</v>
      </c>
      <c r="T64" s="53">
        <f t="shared" si="8"/>
        <v>-0.11050291405858582</v>
      </c>
      <c r="U64" s="53">
        <f t="shared" si="8"/>
        <v>-0.10859389855717168</v>
      </c>
      <c r="V64" s="53">
        <f t="shared" si="8"/>
        <v>-0.10668488305575755</v>
      </c>
      <c r="W64" s="53">
        <f t="shared" si="8"/>
        <v>-0.1047758675543434</v>
      </c>
      <c r="X64" s="53">
        <f t="shared" si="8"/>
        <v>-0.10286685205292925</v>
      </c>
      <c r="Y64" s="53">
        <f t="shared" si="8"/>
        <v>-0.10095783655151511</v>
      </c>
      <c r="Z64" s="53">
        <f t="shared" si="8"/>
        <v>-9.904882105010096E-2</v>
      </c>
      <c r="AA64" s="53">
        <f t="shared" si="8"/>
        <v>-9.7139805548686814E-2</v>
      </c>
      <c r="AB64" s="53">
        <f t="shared" si="8"/>
        <v>-9.5230790047272681E-2</v>
      </c>
      <c r="AC64" s="53">
        <f t="shared" si="8"/>
        <v>-9.3321774545858521E-2</v>
      </c>
      <c r="AD64" s="53">
        <f t="shared" si="8"/>
        <v>-9.1412759044444389E-2</v>
      </c>
      <c r="AE64" s="53">
        <f t="shared" si="8"/>
        <v>-8.9503743543030229E-2</v>
      </c>
      <c r="AF64" s="53">
        <f t="shared" si="8"/>
        <v>-8.759472804161611E-2</v>
      </c>
      <c r="AG64" s="53">
        <f t="shared" si="8"/>
        <v>-8.5685712540201964E-2</v>
      </c>
      <c r="AH64" s="53">
        <f t="shared" si="8"/>
        <v>-8.3776697038787817E-2</v>
      </c>
      <c r="AI64" s="53">
        <f t="shared" si="8"/>
        <v>-8.1867681537373671E-2</v>
      </c>
      <c r="AJ64" s="53">
        <f t="shared" si="8"/>
        <v>-7.9958666035959552E-2</v>
      </c>
      <c r="AK64" s="53">
        <f t="shared" si="8"/>
        <v>-7.8049650534545406E-2</v>
      </c>
      <c r="AL64" s="53">
        <f t="shared" si="8"/>
        <v>-7.614063503313126E-2</v>
      </c>
      <c r="AM64" s="53">
        <f t="shared" si="8"/>
        <v>-7.4231619531717113E-2</v>
      </c>
      <c r="AN64" s="53">
        <f t="shared" si="8"/>
        <v>-7.2322604030302981E-2</v>
      </c>
      <c r="AO64" s="53">
        <f t="shared" si="8"/>
        <v>-7.0413588528888835E-2</v>
      </c>
      <c r="AP64" s="53">
        <f t="shared" si="8"/>
        <v>-6.8504573027474702E-2</v>
      </c>
      <c r="AQ64" s="53">
        <f t="shared" si="8"/>
        <v>-6.6595557526060556E-2</v>
      </c>
      <c r="AR64" s="53">
        <f t="shared" si="8"/>
        <v>-6.468654202464641E-2</v>
      </c>
      <c r="AS64" s="53">
        <f t="shared" si="8"/>
        <v>-6.2777526523232277E-2</v>
      </c>
      <c r="AT64" s="53">
        <f t="shared" si="8"/>
        <v>-6.0868511021818131E-2</v>
      </c>
      <c r="AU64" s="53">
        <f t="shared" si="8"/>
        <v>-5.8959495520403991E-2</v>
      </c>
      <c r="AV64" s="53">
        <f t="shared" si="8"/>
        <v>-5.7050480018989852E-2</v>
      </c>
      <c r="AW64" s="53">
        <f t="shared" si="8"/>
        <v>-5.5141464517575706E-2</v>
      </c>
      <c r="AX64" s="53">
        <f t="shared" si="8"/>
        <v>-5.3232449016161566E-2</v>
      </c>
      <c r="AY64" s="53">
        <f t="shared" si="8"/>
        <v>-4.3558646620080757E-2</v>
      </c>
      <c r="AZ64" s="53">
        <f t="shared" si="8"/>
        <v>-3.353094420044439E-2</v>
      </c>
      <c r="BA64" s="53">
        <f t="shared" si="8"/>
        <v>-2.3291256527919139E-2</v>
      </c>
      <c r="BB64" s="53">
        <f t="shared" si="8"/>
        <v>-1.394608038783833E-2</v>
      </c>
      <c r="BC64" s="53">
        <f t="shared" si="8"/>
        <v>-7.5649555053332847E-3</v>
      </c>
      <c r="BD64" s="53">
        <f t="shared" si="8"/>
        <v>4.773959005888173E-17</v>
      </c>
    </row>
    <row r="65" spans="1:56" ht="12.75" customHeight="1" x14ac:dyDescent="0.3">
      <c r="A65" s="226" t="s">
        <v>228</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227"/>
      <c r="B66" s="9" t="s">
        <v>200</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227"/>
      <c r="B67" s="9" t="s">
        <v>296</v>
      </c>
      <c r="C67" s="11"/>
      <c r="D67" s="11" t="s">
        <v>39</v>
      </c>
      <c r="E67" s="82">
        <f>-'Baseline Workings'!C36</f>
        <v>-0.56432833333333299</v>
      </c>
      <c r="F67" s="82">
        <f>-'Baseline Workings'!D36</f>
        <v>-0.71527291666666692</v>
      </c>
      <c r="G67" s="82">
        <f>-'Baseline Workings'!E36</f>
        <v>-0.85874487999999993</v>
      </c>
      <c r="H67" s="82">
        <f>-'Baseline Workings'!F36</f>
        <v>-0.76299424000000093</v>
      </c>
      <c r="I67" s="82">
        <f>-'Baseline Workings'!G36</f>
        <v>-0.8091602436363643</v>
      </c>
      <c r="J67" s="82">
        <f>'Fixed data'!$G$7*J$88/1000000</f>
        <v>-1.0679760919294705</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227"/>
      <c r="B68" s="9" t="s">
        <v>297</v>
      </c>
      <c r="C68" s="9"/>
      <c r="D68" s="9" t="s">
        <v>39</v>
      </c>
      <c r="E68" s="82">
        <f>-'Baseline Workings'!C37</f>
        <v>-1.7435398866661358</v>
      </c>
      <c r="F68" s="82">
        <f>-'Baseline Workings'!D37</f>
        <v>-2.2191826266659613</v>
      </c>
      <c r="G68" s="82">
        <f>-'Baseline Workings'!E37</f>
        <v>-2.6704951333349958</v>
      </c>
      <c r="H68" s="82">
        <f>-'Baseline Workings'!F37</f>
        <v>-2.4432748266658066</v>
      </c>
      <c r="I68" s="82">
        <f>-'Baseline Workings'!G37</f>
        <v>-3.0577331186868708</v>
      </c>
      <c r="J68" s="82">
        <f>'Fixed data'!$G$8*J89/1000000</f>
        <v>-4.1061249516448193</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227"/>
      <c r="B69" s="4" t="s">
        <v>201</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227"/>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227"/>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227"/>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227"/>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227"/>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227"/>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228"/>
      <c r="B76" s="13" t="s">
        <v>99</v>
      </c>
      <c r="C76" s="13"/>
      <c r="D76" s="13" t="s">
        <v>39</v>
      </c>
      <c r="E76" s="53">
        <f>SUM(E65:E75)</f>
        <v>-2.3078682199994689</v>
      </c>
      <c r="F76" s="53">
        <f t="shared" ref="F76:BD76" si="9">SUM(F65:F75)</f>
        <v>-2.9344555433326285</v>
      </c>
      <c r="G76" s="53">
        <f t="shared" si="9"/>
        <v>-3.5292400133349959</v>
      </c>
      <c r="H76" s="53">
        <f t="shared" si="9"/>
        <v>-3.2062690666658078</v>
      </c>
      <c r="I76" s="53">
        <f t="shared" si="9"/>
        <v>-3.8668933623232351</v>
      </c>
      <c r="J76" s="53">
        <f t="shared" si="9"/>
        <v>-5.1741010435742893</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-2.467804719739469</v>
      </c>
      <c r="F77" s="54">
        <f>IF('Fixed data'!$G$19=FALSE,F64+F76,F64)</f>
        <v>-3.130236218907295</v>
      </c>
      <c r="G77" s="54">
        <f>IF('Fixed data'!$G$19=FALSE,G64+G76,G64)</f>
        <v>-3.760091769447885</v>
      </c>
      <c r="H77" s="54">
        <f>IF('Fixed data'!$G$19=FALSE,H64+H76,H64)</f>
        <v>-3.4511020939098076</v>
      </c>
      <c r="I77" s="54">
        <f>IF('Fixed data'!$G$19=FALSE,I64+I76,I64)</f>
        <v>-4.0807731140695385</v>
      </c>
      <c r="J77" s="54">
        <f>IF('Fixed data'!$G$19=FALSE,J64+J76,J64)</f>
        <v>-5.432489069401683</v>
      </c>
      <c r="K77" s="54">
        <f>IF('Fixed data'!$G$19=FALSE,K64+K76,K64)</f>
        <v>-0.12768405357131313</v>
      </c>
      <c r="L77" s="54">
        <f>IF('Fixed data'!$G$19=FALSE,L64+L76,L64)</f>
        <v>-0.12577503806989898</v>
      </c>
      <c r="M77" s="54">
        <f>IF('Fixed data'!$G$19=FALSE,M64+M76,M64)</f>
        <v>-0.12386602256848483</v>
      </c>
      <c r="N77" s="54">
        <f>IF('Fixed data'!$G$19=FALSE,N64+N76,N64)</f>
        <v>-0.1219570070670707</v>
      </c>
      <c r="O77" s="54">
        <f>IF('Fixed data'!$G$19=FALSE,O64+O76,O64)</f>
        <v>-0.12004799156565654</v>
      </c>
      <c r="P77" s="54">
        <f>IF('Fixed data'!$G$19=FALSE,P64+P76,P64)</f>
        <v>-0.11813897606424241</v>
      </c>
      <c r="Q77" s="54">
        <f>IF('Fixed data'!$G$19=FALSE,Q64+Q76,Q64)</f>
        <v>-0.11622996056282825</v>
      </c>
      <c r="R77" s="54">
        <f>IF('Fixed data'!$G$19=FALSE,R64+R76,R64)</f>
        <v>-0.11432094506141412</v>
      </c>
      <c r="S77" s="54">
        <f>IF('Fixed data'!$G$19=FALSE,S64+S76,S64)</f>
        <v>-0.11241192955999997</v>
      </c>
      <c r="T77" s="54">
        <f>IF('Fixed data'!$G$19=FALSE,T64+T76,T64)</f>
        <v>-0.11050291405858582</v>
      </c>
      <c r="U77" s="54">
        <f>IF('Fixed data'!$G$19=FALSE,U64+U76,U64)</f>
        <v>-0.10859389855717168</v>
      </c>
      <c r="V77" s="54">
        <f>IF('Fixed data'!$G$19=FALSE,V64+V76,V64)</f>
        <v>-0.10668488305575755</v>
      </c>
      <c r="W77" s="54">
        <f>IF('Fixed data'!$G$19=FALSE,W64+W76,W64)</f>
        <v>-0.1047758675543434</v>
      </c>
      <c r="X77" s="54">
        <f>IF('Fixed data'!$G$19=FALSE,X64+X76,X64)</f>
        <v>-0.10286685205292925</v>
      </c>
      <c r="Y77" s="54">
        <f>IF('Fixed data'!$G$19=FALSE,Y64+Y76,Y64)</f>
        <v>-0.10095783655151511</v>
      </c>
      <c r="Z77" s="54">
        <f>IF('Fixed data'!$G$19=FALSE,Z64+Z76,Z64)</f>
        <v>-9.904882105010096E-2</v>
      </c>
      <c r="AA77" s="54">
        <f>IF('Fixed data'!$G$19=FALSE,AA64+AA76,AA64)</f>
        <v>-9.7139805548686814E-2</v>
      </c>
      <c r="AB77" s="54">
        <f>IF('Fixed data'!$G$19=FALSE,AB64+AB76,AB64)</f>
        <v>-9.5230790047272681E-2</v>
      </c>
      <c r="AC77" s="54">
        <f>IF('Fixed data'!$G$19=FALSE,AC64+AC76,AC64)</f>
        <v>-9.3321774545858521E-2</v>
      </c>
      <c r="AD77" s="54">
        <f>IF('Fixed data'!$G$19=FALSE,AD64+AD76,AD64)</f>
        <v>-9.1412759044444389E-2</v>
      </c>
      <c r="AE77" s="54">
        <f>IF('Fixed data'!$G$19=FALSE,AE64+AE76,AE64)</f>
        <v>-8.9503743543030229E-2</v>
      </c>
      <c r="AF77" s="54">
        <f>IF('Fixed data'!$G$19=FALSE,AF64+AF76,AF64)</f>
        <v>-8.759472804161611E-2</v>
      </c>
      <c r="AG77" s="54">
        <f>IF('Fixed data'!$G$19=FALSE,AG64+AG76,AG64)</f>
        <v>-8.5685712540201964E-2</v>
      </c>
      <c r="AH77" s="54">
        <f>IF('Fixed data'!$G$19=FALSE,AH64+AH76,AH64)</f>
        <v>-8.3776697038787817E-2</v>
      </c>
      <c r="AI77" s="54">
        <f>IF('Fixed data'!$G$19=FALSE,AI64+AI76,AI64)</f>
        <v>-8.1867681537373671E-2</v>
      </c>
      <c r="AJ77" s="54">
        <f>IF('Fixed data'!$G$19=FALSE,AJ64+AJ76,AJ64)</f>
        <v>-7.9958666035959552E-2</v>
      </c>
      <c r="AK77" s="54">
        <f>IF('Fixed data'!$G$19=FALSE,AK64+AK76,AK64)</f>
        <v>-7.8049650534545406E-2</v>
      </c>
      <c r="AL77" s="54">
        <f>IF('Fixed data'!$G$19=FALSE,AL64+AL76,AL64)</f>
        <v>-7.614063503313126E-2</v>
      </c>
      <c r="AM77" s="54">
        <f>IF('Fixed data'!$G$19=FALSE,AM64+AM76,AM64)</f>
        <v>-7.4231619531717113E-2</v>
      </c>
      <c r="AN77" s="54">
        <f>IF('Fixed data'!$G$19=FALSE,AN64+AN76,AN64)</f>
        <v>-7.2322604030302981E-2</v>
      </c>
      <c r="AO77" s="54">
        <f>IF('Fixed data'!$G$19=FALSE,AO64+AO76,AO64)</f>
        <v>-7.0413588528888835E-2</v>
      </c>
      <c r="AP77" s="54">
        <f>IF('Fixed data'!$G$19=FALSE,AP64+AP76,AP64)</f>
        <v>-6.8504573027474702E-2</v>
      </c>
      <c r="AQ77" s="54">
        <f>IF('Fixed data'!$G$19=FALSE,AQ64+AQ76,AQ64)</f>
        <v>-6.6595557526060556E-2</v>
      </c>
      <c r="AR77" s="54">
        <f>IF('Fixed data'!$G$19=FALSE,AR64+AR76,AR64)</f>
        <v>-6.468654202464641E-2</v>
      </c>
      <c r="AS77" s="54">
        <f>IF('Fixed data'!$G$19=FALSE,AS64+AS76,AS64)</f>
        <v>-6.2777526523232277E-2</v>
      </c>
      <c r="AT77" s="54">
        <f>IF('Fixed data'!$G$19=FALSE,AT64+AT76,AT64)</f>
        <v>-6.0868511021818131E-2</v>
      </c>
      <c r="AU77" s="54">
        <f>IF('Fixed data'!$G$19=FALSE,AU64+AU76,AU64)</f>
        <v>-5.8959495520403991E-2</v>
      </c>
      <c r="AV77" s="54">
        <f>IF('Fixed data'!$G$19=FALSE,AV64+AV76,AV64)</f>
        <v>-5.7050480018989852E-2</v>
      </c>
      <c r="AW77" s="54">
        <f>IF('Fixed data'!$G$19=FALSE,AW64+AW76,AW64)</f>
        <v>-5.5141464517575706E-2</v>
      </c>
      <c r="AX77" s="54">
        <f>IF('Fixed data'!$G$19=FALSE,AX64+AX76,AX64)</f>
        <v>-5.3232449016161566E-2</v>
      </c>
      <c r="AY77" s="54">
        <f>IF('Fixed data'!$G$19=FALSE,AY64+AY76,AY64)</f>
        <v>-4.3558646620080757E-2</v>
      </c>
      <c r="AZ77" s="54">
        <f>IF('Fixed data'!$G$19=FALSE,AZ64+AZ76,AZ64)</f>
        <v>-3.353094420044439E-2</v>
      </c>
      <c r="BA77" s="54">
        <f>IF('Fixed data'!$G$19=FALSE,BA64+BA76,BA64)</f>
        <v>-2.3291256527919139E-2</v>
      </c>
      <c r="BB77" s="54">
        <f>IF('Fixed data'!$G$19=FALSE,BB64+BB76,BB64)</f>
        <v>-1.394608038783833E-2</v>
      </c>
      <c r="BC77" s="54">
        <f>IF('Fixed data'!$G$19=FALSE,BC64+BC76,BC64)</f>
        <v>-7.5649555053332847E-3</v>
      </c>
      <c r="BD77" s="54">
        <f>IF('Fixed data'!$G$19=FALSE,BD64+BD76,BD64)</f>
        <v>4.773959005888173E-17</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-2.3843523862217095</v>
      </c>
      <c r="F80" s="55">
        <f t="shared" ref="F80:BD80" si="10">F77*F78</f>
        <v>-2.9221090050244301</v>
      </c>
      <c r="G80" s="55">
        <f t="shared" si="10"/>
        <v>-3.3913873440958873</v>
      </c>
      <c r="H80" s="55">
        <f t="shared" si="10"/>
        <v>-3.0074360967319707</v>
      </c>
      <c r="I80" s="55">
        <f t="shared" si="10"/>
        <v>-3.4359014620842507</v>
      </c>
      <c r="J80" s="55">
        <f t="shared" si="10"/>
        <v>-4.4193333581530938</v>
      </c>
      <c r="K80" s="55">
        <f t="shared" si="10"/>
        <v>-0.10035851193052063</v>
      </c>
      <c r="L80" s="55">
        <f t="shared" si="10"/>
        <v>-9.5515017393820151E-2</v>
      </c>
      <c r="M80" s="55">
        <f t="shared" si="10"/>
        <v>-9.0884337160435064E-2</v>
      </c>
      <c r="N80" s="55">
        <f t="shared" si="10"/>
        <v>-8.6457616773582061E-2</v>
      </c>
      <c r="O80" s="55">
        <f t="shared" si="10"/>
        <v>-8.2226357264701427E-2</v>
      </c>
      <c r="P80" s="55">
        <f t="shared" si="10"/>
        <v>-7.8182401236294802E-2</v>
      </c>
      <c r="Q80" s="55">
        <f t="shared" si="10"/>
        <v>-7.4317919479501338E-2</v>
      </c>
      <c r="R80" s="55">
        <f t="shared" si="10"/>
        <v>-7.0625398106161599E-2</v>
      </c>
      <c r="S80" s="55">
        <f t="shared" si="10"/>
        <v>-6.7097626175876376E-2</v>
      </c>
      <c r="T80" s="55">
        <f t="shared" si="10"/>
        <v>-6.3727683799297538E-2</v>
      </c>
      <c r="U80" s="55">
        <f t="shared" si="10"/>
        <v>-6.0508930699591151E-2</v>
      </c>
      <c r="V80" s="55">
        <f t="shared" si="10"/>
        <v>-5.7434995214689859E-2</v>
      </c>
      <c r="W80" s="55">
        <f t="shared" si="10"/>
        <v>-5.4499763723603219E-2</v>
      </c>
      <c r="X80" s="55">
        <f t="shared" si="10"/>
        <v>-5.1697370480682202E-2</v>
      </c>
      <c r="Y80" s="55">
        <f t="shared" si="10"/>
        <v>-4.9022187842338402E-2</v>
      </c>
      <c r="Z80" s="55">
        <f t="shared" si="10"/>
        <v>-4.6468816871299938E-2</v>
      </c>
      <c r="AA80" s="55">
        <f t="shared" si="10"/>
        <v>-4.4032078304046741E-2</v>
      </c>
      <c r="AB80" s="55">
        <f t="shared" si="10"/>
        <v>-4.1707003867606555E-2</v>
      </c>
      <c r="AC80" s="55">
        <f t="shared" si="10"/>
        <v>-3.9488827932412714E-2</v>
      </c>
      <c r="AD80" s="55">
        <f t="shared" si="10"/>
        <v>-3.7372979488424718E-2</v>
      </c>
      <c r="AE80" s="55">
        <f t="shared" si="10"/>
        <v>-3.5355074432193462E-2</v>
      </c>
      <c r="AF80" s="55">
        <f t="shared" si="10"/>
        <v>-3.3430908153017122E-2</v>
      </c>
      <c r="AG80" s="55">
        <f t="shared" si="10"/>
        <v>-3.1596448406779137E-2</v>
      </c>
      <c r="AH80" s="55">
        <f t="shared" si="10"/>
        <v>-2.9847828466489933E-2</v>
      </c>
      <c r="AI80" s="55">
        <f t="shared" si="10"/>
        <v>-3.2746020219090108E-2</v>
      </c>
      <c r="AJ80" s="55">
        <f t="shared" si="10"/>
        <v>-3.1050911221952665E-2</v>
      </c>
      <c r="AK80" s="55">
        <f t="shared" si="10"/>
        <v>-2.9426766800011651E-2</v>
      </c>
      <c r="AL80" s="55">
        <f t="shared" si="10"/>
        <v>-2.7870891117043401E-2</v>
      </c>
      <c r="AM80" s="55">
        <f t="shared" si="10"/>
        <v>-2.6380685174001078E-2</v>
      </c>
      <c r="AN80" s="55">
        <f t="shared" si="10"/>
        <v>-2.4953643454989943E-2</v>
      </c>
      <c r="AO80" s="55">
        <f t="shared" si="10"/>
        <v>-2.3587350686472056E-2</v>
      </c>
      <c r="AP80" s="55">
        <f t="shared" si="10"/>
        <v>-2.2279478705950134E-2</v>
      </c>
      <c r="AQ80" s="55">
        <f t="shared" si="10"/>
        <v>-2.1027783436502218E-2</v>
      </c>
      <c r="AR80" s="55">
        <f t="shared" si="10"/>
        <v>-1.9830101963657695E-2</v>
      </c>
      <c r="AS80" s="55">
        <f t="shared" si="10"/>
        <v>-1.8684349711219371E-2</v>
      </c>
      <c r="AT80" s="55">
        <f t="shared" si="10"/>
        <v>-1.7588517712747862E-2</v>
      </c>
      <c r="AU80" s="55">
        <f t="shared" si="10"/>
        <v>-1.6540669975531365E-2</v>
      </c>
      <c r="AV80" s="55">
        <f t="shared" si="10"/>
        <v>-1.5538940933968098E-2</v>
      </c>
      <c r="AW80" s="55">
        <f t="shared" si="10"/>
        <v>-1.4581532989389114E-2</v>
      </c>
      <c r="AX80" s="55">
        <f t="shared" si="10"/>
        <v>-1.366671413344658E-2</v>
      </c>
      <c r="AY80" s="55">
        <f t="shared" si="10"/>
        <v>-1.0857374460609132E-2</v>
      </c>
      <c r="AZ80" s="55">
        <f t="shared" si="10"/>
        <v>-8.1144482911936905E-3</v>
      </c>
      <c r="BA80" s="55">
        <f t="shared" si="10"/>
        <v>-5.4722875265542092E-3</v>
      </c>
      <c r="BB80" s="55">
        <f t="shared" si="10"/>
        <v>-3.1811996717829613E-3</v>
      </c>
      <c r="BC80" s="55">
        <f t="shared" si="10"/>
        <v>-1.6753591350106779E-3</v>
      </c>
      <c r="BD80" s="55">
        <f t="shared" si="10"/>
        <v>1.0264622941551024E-17</v>
      </c>
    </row>
    <row r="81" spans="1:56" x14ac:dyDescent="0.3">
      <c r="A81" s="75"/>
      <c r="B81" s="15" t="s">
        <v>18</v>
      </c>
      <c r="C81" s="15"/>
      <c r="D81" s="14" t="s">
        <v>39</v>
      </c>
      <c r="E81" s="56">
        <f>+E80</f>
        <v>-2.3843523862217095</v>
      </c>
      <c r="F81" s="56">
        <f t="shared" ref="F81:BD81" si="11">+E81+F80</f>
        <v>-5.30646139124614</v>
      </c>
      <c r="G81" s="56">
        <f t="shared" si="11"/>
        <v>-8.6978487353420277</v>
      </c>
      <c r="H81" s="56">
        <f t="shared" si="11"/>
        <v>-11.705284832073998</v>
      </c>
      <c r="I81" s="56">
        <f t="shared" si="11"/>
        <v>-15.141186294158249</v>
      </c>
      <c r="J81" s="56">
        <f t="shared" si="11"/>
        <v>-19.560519652311342</v>
      </c>
      <c r="K81" s="56">
        <f t="shared" si="11"/>
        <v>-19.660878164241861</v>
      </c>
      <c r="L81" s="56">
        <f t="shared" si="11"/>
        <v>-19.75639318163568</v>
      </c>
      <c r="M81" s="56">
        <f t="shared" si="11"/>
        <v>-19.847277518796115</v>
      </c>
      <c r="N81" s="56">
        <f t="shared" si="11"/>
        <v>-19.933735135569698</v>
      </c>
      <c r="O81" s="56">
        <f t="shared" si="11"/>
        <v>-20.0159614928344</v>
      </c>
      <c r="P81" s="56">
        <f t="shared" si="11"/>
        <v>-20.094143894070694</v>
      </c>
      <c r="Q81" s="56">
        <f t="shared" si="11"/>
        <v>-20.168461813550195</v>
      </c>
      <c r="R81" s="56">
        <f t="shared" si="11"/>
        <v>-20.239087211656358</v>
      </c>
      <c r="S81" s="56">
        <f t="shared" si="11"/>
        <v>-20.306184837832234</v>
      </c>
      <c r="T81" s="56">
        <f t="shared" si="11"/>
        <v>-20.36991252163153</v>
      </c>
      <c r="U81" s="56">
        <f t="shared" si="11"/>
        <v>-20.430421452331121</v>
      </c>
      <c r="V81" s="56">
        <f t="shared" si="11"/>
        <v>-20.487856447545809</v>
      </c>
      <c r="W81" s="56">
        <f t="shared" si="11"/>
        <v>-20.542356211269411</v>
      </c>
      <c r="X81" s="56">
        <f t="shared" si="11"/>
        <v>-20.594053581750092</v>
      </c>
      <c r="Y81" s="56">
        <f t="shared" si="11"/>
        <v>-20.643075769592432</v>
      </c>
      <c r="Z81" s="56">
        <f t="shared" si="11"/>
        <v>-20.689544586463732</v>
      </c>
      <c r="AA81" s="56">
        <f t="shared" si="11"/>
        <v>-20.733576664767778</v>
      </c>
      <c r="AB81" s="56">
        <f t="shared" si="11"/>
        <v>-20.775283668635385</v>
      </c>
      <c r="AC81" s="56">
        <f t="shared" si="11"/>
        <v>-20.814772496567798</v>
      </c>
      <c r="AD81" s="56">
        <f t="shared" si="11"/>
        <v>-20.852145476056222</v>
      </c>
      <c r="AE81" s="56">
        <f t="shared" si="11"/>
        <v>-20.887500550488415</v>
      </c>
      <c r="AF81" s="56">
        <f t="shared" si="11"/>
        <v>-20.920931458641434</v>
      </c>
      <c r="AG81" s="56">
        <f t="shared" si="11"/>
        <v>-20.952527907048214</v>
      </c>
      <c r="AH81" s="56">
        <f t="shared" si="11"/>
        <v>-20.982375735514704</v>
      </c>
      <c r="AI81" s="56">
        <f t="shared" si="11"/>
        <v>-21.015121755733794</v>
      </c>
      <c r="AJ81" s="56">
        <f t="shared" si="11"/>
        <v>-21.046172666955748</v>
      </c>
      <c r="AK81" s="56">
        <f t="shared" si="11"/>
        <v>-21.075599433755759</v>
      </c>
      <c r="AL81" s="56">
        <f t="shared" si="11"/>
        <v>-21.103470324872802</v>
      </c>
      <c r="AM81" s="56">
        <f t="shared" si="11"/>
        <v>-21.129851010046803</v>
      </c>
      <c r="AN81" s="56">
        <f t="shared" si="11"/>
        <v>-21.154804653501792</v>
      </c>
      <c r="AO81" s="56">
        <f t="shared" si="11"/>
        <v>-21.178392004188265</v>
      </c>
      <c r="AP81" s="56">
        <f t="shared" si="11"/>
        <v>-21.200671482894215</v>
      </c>
      <c r="AQ81" s="56">
        <f t="shared" si="11"/>
        <v>-21.221699266330717</v>
      </c>
      <c r="AR81" s="56">
        <f t="shared" si="11"/>
        <v>-21.241529368294373</v>
      </c>
      <c r="AS81" s="56">
        <f t="shared" si="11"/>
        <v>-21.260213718005591</v>
      </c>
      <c r="AT81" s="56">
        <f t="shared" si="11"/>
        <v>-21.27780223571834</v>
      </c>
      <c r="AU81" s="56">
        <f t="shared" si="11"/>
        <v>-21.29434290569387</v>
      </c>
      <c r="AV81" s="56">
        <f t="shared" si="11"/>
        <v>-21.309881846627839</v>
      </c>
      <c r="AW81" s="56">
        <f t="shared" si="11"/>
        <v>-21.324463379617228</v>
      </c>
      <c r="AX81" s="56">
        <f t="shared" si="11"/>
        <v>-21.338130093750674</v>
      </c>
      <c r="AY81" s="56">
        <f t="shared" si="11"/>
        <v>-21.348987468211284</v>
      </c>
      <c r="AZ81" s="56">
        <f t="shared" si="11"/>
        <v>-21.357101916502479</v>
      </c>
      <c r="BA81" s="56">
        <f t="shared" si="11"/>
        <v>-21.362574204029034</v>
      </c>
      <c r="BB81" s="56">
        <f t="shared" si="11"/>
        <v>-21.365755403700817</v>
      </c>
      <c r="BC81" s="56">
        <f t="shared" si="11"/>
        <v>-21.367430762835827</v>
      </c>
      <c r="BD81" s="56">
        <f t="shared" si="11"/>
        <v>-21.367430762835827</v>
      </c>
    </row>
    <row r="82" spans="1:56" x14ac:dyDescent="0.3">
      <c r="A82" s="75"/>
      <c r="B82" s="14"/>
    </row>
    <row r="83" spans="1:56" x14ac:dyDescent="0.3">
      <c r="A83" s="7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229" t="s">
        <v>298</v>
      </c>
      <c r="B86" s="4" t="s">
        <v>210</v>
      </c>
      <c r="D86" s="4" t="s">
        <v>86</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229"/>
      <c r="B87" s="4" t="s">
        <v>211</v>
      </c>
      <c r="D87" s="4" t="s">
        <v>88</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229"/>
      <c r="B88" s="4" t="s">
        <v>212</v>
      </c>
      <c r="D88" s="4" t="s">
        <v>207</v>
      </c>
      <c r="E88" s="44">
        <f>-'Baseline Workings'!C34</f>
        <v>-49675.33333333335</v>
      </c>
      <c r="F88" s="44">
        <f>-'Baseline Workings'!D34</f>
        <v>-63011.666666666664</v>
      </c>
      <c r="G88" s="44">
        <f>-'Baseline Workings'!E34</f>
        <v>-73775.333333333343</v>
      </c>
      <c r="H88" s="44">
        <f>-'Baseline Workings'!F34</f>
        <v>-65549.333333333299</v>
      </c>
      <c r="I88" s="44">
        <f>-'Baseline Workings'!G34</f>
        <v>-69515.484848484906</v>
      </c>
      <c r="J88" s="44">
        <f>-'Baseline Workings'!H34</f>
        <v>-69153.666666666628</v>
      </c>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229"/>
      <c r="B89" s="4" t="s">
        <v>213</v>
      </c>
      <c r="D89" s="4" t="s">
        <v>87</v>
      </c>
      <c r="E89" s="44">
        <f>-'Baseline Workings'!C35</f>
        <v>-6294550.6666646693</v>
      </c>
      <c r="F89" s="44">
        <f>-'Baseline Workings'!D35</f>
        <v>-8022113.3333307914</v>
      </c>
      <c r="G89" s="44">
        <f>-'Baseline Workings'!E35</f>
        <v>-9460578.3333392739</v>
      </c>
      <c r="H89" s="44">
        <f>-'Baseline Workings'!F35</f>
        <v>-8662145.3333302755</v>
      </c>
      <c r="I89" s="44">
        <f>-'Baseline Workings'!G35</f>
        <v>-10791999.24242425</v>
      </c>
      <c r="J89" s="44">
        <f>-'Baseline Workings'!H35</f>
        <v>-10901084.333333327</v>
      </c>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229"/>
      <c r="B90" s="4" t="s">
        <v>326</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229"/>
      <c r="B91" s="4" t="s">
        <v>327</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229"/>
      <c r="B92" s="4" t="s">
        <v>328</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229"/>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153</v>
      </c>
    </row>
    <row r="98" spans="1:3" x14ac:dyDescent="0.3">
      <c r="B98" s="4" t="s">
        <v>313</v>
      </c>
    </row>
    <row r="99" spans="1:3" x14ac:dyDescent="0.3">
      <c r="B99" s="4" t="s">
        <v>330</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314</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disablePrompts="1"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62"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K14" sqref="K14"/>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342</v>
      </c>
      <c r="C1" s="3" t="s">
        <v>341</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-8.1545213035594202</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-9.8783367900426384</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-11.031234573025792</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-12.217505409986849</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221" t="s">
        <v>11</v>
      </c>
      <c r="B13" s="61" t="s">
        <v>198</v>
      </c>
      <c r="C13" s="60"/>
      <c r="D13" s="61" t="s">
        <v>39</v>
      </c>
      <c r="E13" s="62">
        <f>-'Option 2 Workings'!$D$10</f>
        <v>-1.9919960000000001</v>
      </c>
      <c r="F13" s="62">
        <f>-'Option 2 Workings'!E10</f>
        <v>-2.0377960000000002</v>
      </c>
      <c r="G13" s="62">
        <f>-'Option 2 Workings'!F10</f>
        <v>-2.1187960000000001</v>
      </c>
      <c r="H13" s="62">
        <f>-'Option 2 Workings'!G10</f>
        <v>-2.1712889999999998</v>
      </c>
      <c r="I13" s="62">
        <f>-'Option 2 Workings'!H10</f>
        <v>-1.8909990000000001</v>
      </c>
      <c r="J13" s="62">
        <f>-'Option 2 Workings'!I10</f>
        <v>-2.7749999999999999</v>
      </c>
      <c r="K13" s="62"/>
      <c r="L13" s="62"/>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222"/>
      <c r="B14" s="61" t="s">
        <v>196</v>
      </c>
      <c r="C14" s="60"/>
      <c r="D14" s="61" t="s">
        <v>39</v>
      </c>
      <c r="E14" s="62"/>
      <c r="F14" s="62"/>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222"/>
      <c r="B15" s="61" t="s">
        <v>196</v>
      </c>
      <c r="C15" s="60"/>
      <c r="D15" s="61" t="s">
        <v>39</v>
      </c>
      <c r="E15" s="62"/>
      <c r="F15" s="62"/>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222"/>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222"/>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223"/>
      <c r="B18" s="123" t="s">
        <v>195</v>
      </c>
      <c r="C18" s="128"/>
      <c r="D18" s="124" t="s">
        <v>39</v>
      </c>
      <c r="E18" s="59">
        <f>SUM(E13:E17)</f>
        <v>-1.9919960000000001</v>
      </c>
      <c r="F18" s="59">
        <f t="shared" ref="F18:AW18" si="0">SUM(F13:F17)</f>
        <v>-2.0377960000000002</v>
      </c>
      <c r="G18" s="59">
        <f t="shared" si="0"/>
        <v>-2.1187960000000001</v>
      </c>
      <c r="H18" s="59">
        <f t="shared" si="0"/>
        <v>-2.1712889999999998</v>
      </c>
      <c r="I18" s="59">
        <f t="shared" si="0"/>
        <v>-1.8909990000000001</v>
      </c>
      <c r="J18" s="59">
        <f t="shared" si="0"/>
        <v>-2.7749999999999999</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224" t="s">
        <v>299</v>
      </c>
      <c r="B19" s="61" t="s">
        <v>198</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224"/>
      <c r="B20" s="61" t="s">
        <v>196</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224"/>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224"/>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224"/>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224"/>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225"/>
      <c r="B25" s="61" t="s">
        <v>315</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-1.9919960000000001</v>
      </c>
      <c r="F26" s="59">
        <f t="shared" ref="F26:BD26" si="2">F18+F25</f>
        <v>-2.0377960000000002</v>
      </c>
      <c r="G26" s="59">
        <f t="shared" si="2"/>
        <v>-2.1187960000000001</v>
      </c>
      <c r="H26" s="59">
        <f t="shared" si="2"/>
        <v>-2.1712889999999998</v>
      </c>
      <c r="I26" s="59">
        <f t="shared" si="2"/>
        <v>-1.8909990000000001</v>
      </c>
      <c r="J26" s="59">
        <f t="shared" si="2"/>
        <v>-2.7749999999999999</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-1.3943972</v>
      </c>
      <c r="F28" s="35">
        <f t="shared" ref="F28:AW28" si="3">F26*F27</f>
        <v>-1.4264572</v>
      </c>
      <c r="G28" s="35">
        <f t="shared" si="3"/>
        <v>-1.4831572</v>
      </c>
      <c r="H28" s="35">
        <f t="shared" si="3"/>
        <v>-1.5199022999999998</v>
      </c>
      <c r="I28" s="35">
        <f t="shared" si="3"/>
        <v>-1.3236992999999999</v>
      </c>
      <c r="J28" s="35">
        <f t="shared" si="3"/>
        <v>-1.9424999999999999</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-0.5975988000000001</v>
      </c>
      <c r="F29" s="35">
        <f t="shared" ref="F29:AW29" si="4">F26-F28</f>
        <v>-0.61133880000000018</v>
      </c>
      <c r="G29" s="35">
        <f t="shared" si="4"/>
        <v>-0.63563880000000017</v>
      </c>
      <c r="H29" s="35">
        <f t="shared" si="4"/>
        <v>-0.65138669999999999</v>
      </c>
      <c r="I29" s="35">
        <f t="shared" si="4"/>
        <v>-0.56729970000000018</v>
      </c>
      <c r="J29" s="35">
        <f t="shared" si="4"/>
        <v>-0.83250000000000002</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-3.0986604444444444E-2</v>
      </c>
      <c r="G30" s="35">
        <f>$E$28/'Fixed data'!$C$7</f>
        <v>-3.0986604444444444E-2</v>
      </c>
      <c r="H30" s="35">
        <f>$E$28/'Fixed data'!$C$7</f>
        <v>-3.0986604444444444E-2</v>
      </c>
      <c r="I30" s="35">
        <f>$E$28/'Fixed data'!$C$7</f>
        <v>-3.0986604444444444E-2</v>
      </c>
      <c r="J30" s="35">
        <f>$E$28/'Fixed data'!$C$7</f>
        <v>-3.0986604444444444E-2</v>
      </c>
      <c r="K30" s="35">
        <f>$E$28/'Fixed data'!$C$7</f>
        <v>-3.0986604444444444E-2</v>
      </c>
      <c r="L30" s="35">
        <f>$E$28/'Fixed data'!$C$7</f>
        <v>-3.0986604444444444E-2</v>
      </c>
      <c r="M30" s="35">
        <f>$E$28/'Fixed data'!$C$7</f>
        <v>-3.0986604444444444E-2</v>
      </c>
      <c r="N30" s="35">
        <f>$E$28/'Fixed data'!$C$7</f>
        <v>-3.0986604444444444E-2</v>
      </c>
      <c r="O30" s="35">
        <f>$E$28/'Fixed data'!$C$7</f>
        <v>-3.0986604444444444E-2</v>
      </c>
      <c r="P30" s="35">
        <f>$E$28/'Fixed data'!$C$7</f>
        <v>-3.0986604444444444E-2</v>
      </c>
      <c r="Q30" s="35">
        <f>$E$28/'Fixed data'!$C$7</f>
        <v>-3.0986604444444444E-2</v>
      </c>
      <c r="R30" s="35">
        <f>$E$28/'Fixed data'!$C$7</f>
        <v>-3.0986604444444444E-2</v>
      </c>
      <c r="S30" s="35">
        <f>$E$28/'Fixed data'!$C$7</f>
        <v>-3.0986604444444444E-2</v>
      </c>
      <c r="T30" s="35">
        <f>$E$28/'Fixed data'!$C$7</f>
        <v>-3.0986604444444444E-2</v>
      </c>
      <c r="U30" s="35">
        <f>$E$28/'Fixed data'!$C$7</f>
        <v>-3.0986604444444444E-2</v>
      </c>
      <c r="V30" s="35">
        <f>$E$28/'Fixed data'!$C$7</f>
        <v>-3.0986604444444444E-2</v>
      </c>
      <c r="W30" s="35">
        <f>$E$28/'Fixed data'!$C$7</f>
        <v>-3.0986604444444444E-2</v>
      </c>
      <c r="X30" s="35">
        <f>$E$28/'Fixed data'!$C$7</f>
        <v>-3.0986604444444444E-2</v>
      </c>
      <c r="Y30" s="35">
        <f>$E$28/'Fixed data'!$C$7</f>
        <v>-3.0986604444444444E-2</v>
      </c>
      <c r="Z30" s="35">
        <f>$E$28/'Fixed data'!$C$7</f>
        <v>-3.0986604444444444E-2</v>
      </c>
      <c r="AA30" s="35">
        <f>$E$28/'Fixed data'!$C$7</f>
        <v>-3.0986604444444444E-2</v>
      </c>
      <c r="AB30" s="35">
        <f>$E$28/'Fixed data'!$C$7</f>
        <v>-3.0986604444444444E-2</v>
      </c>
      <c r="AC30" s="35">
        <f>$E$28/'Fixed data'!$C$7</f>
        <v>-3.0986604444444444E-2</v>
      </c>
      <c r="AD30" s="35">
        <f>$E$28/'Fixed data'!$C$7</f>
        <v>-3.0986604444444444E-2</v>
      </c>
      <c r="AE30" s="35">
        <f>$E$28/'Fixed data'!$C$7</f>
        <v>-3.0986604444444444E-2</v>
      </c>
      <c r="AF30" s="35">
        <f>$E$28/'Fixed data'!$C$7</f>
        <v>-3.0986604444444444E-2</v>
      </c>
      <c r="AG30" s="35">
        <f>$E$28/'Fixed data'!$C$7</f>
        <v>-3.0986604444444444E-2</v>
      </c>
      <c r="AH30" s="35">
        <f>$E$28/'Fixed data'!$C$7</f>
        <v>-3.0986604444444444E-2</v>
      </c>
      <c r="AI30" s="35">
        <f>$E$28/'Fixed data'!$C$7</f>
        <v>-3.0986604444444444E-2</v>
      </c>
      <c r="AJ30" s="35">
        <f>$E$28/'Fixed data'!$C$7</f>
        <v>-3.0986604444444444E-2</v>
      </c>
      <c r="AK30" s="35">
        <f>$E$28/'Fixed data'!$C$7</f>
        <v>-3.0986604444444444E-2</v>
      </c>
      <c r="AL30" s="35">
        <f>$E$28/'Fixed data'!$C$7</f>
        <v>-3.0986604444444444E-2</v>
      </c>
      <c r="AM30" s="35">
        <f>$E$28/'Fixed data'!$C$7</f>
        <v>-3.0986604444444444E-2</v>
      </c>
      <c r="AN30" s="35">
        <f>$E$28/'Fixed data'!$C$7</f>
        <v>-3.0986604444444444E-2</v>
      </c>
      <c r="AO30" s="35">
        <f>$E$28/'Fixed data'!$C$7</f>
        <v>-3.0986604444444444E-2</v>
      </c>
      <c r="AP30" s="35">
        <f>$E$28/'Fixed data'!$C$7</f>
        <v>-3.0986604444444444E-2</v>
      </c>
      <c r="AQ30" s="35">
        <f>$E$28/'Fixed data'!$C$7</f>
        <v>-3.0986604444444444E-2</v>
      </c>
      <c r="AR30" s="35">
        <f>$E$28/'Fixed data'!$C$7</f>
        <v>-3.0986604444444444E-2</v>
      </c>
      <c r="AS30" s="35">
        <f>$E$28/'Fixed data'!$C$7</f>
        <v>-3.0986604444444444E-2</v>
      </c>
      <c r="AT30" s="35">
        <f>$E$28/'Fixed data'!$C$7</f>
        <v>-3.0986604444444444E-2</v>
      </c>
      <c r="AU30" s="35">
        <f>$E$28/'Fixed data'!$C$7</f>
        <v>-3.0986604444444444E-2</v>
      </c>
      <c r="AV30" s="35">
        <f>$E$28/'Fixed data'!$C$7</f>
        <v>-3.0986604444444444E-2</v>
      </c>
      <c r="AW30" s="35">
        <f>$E$28/'Fixed data'!$C$7</f>
        <v>-3.0986604444444444E-2</v>
      </c>
      <c r="AX30" s="35">
        <f>$E$28/'Fixed data'!$C$7</f>
        <v>-3.0986604444444444E-2</v>
      </c>
      <c r="AY30" s="35"/>
      <c r="AZ30" s="35"/>
      <c r="BA30" s="35"/>
      <c r="BB30" s="35"/>
      <c r="BC30" s="35"/>
      <c r="BD30" s="35"/>
    </row>
    <row r="31" spans="1:56" ht="16.5" hidden="1" customHeight="1" outlineLevel="1" x14ac:dyDescent="0.35">
      <c r="A31" s="114"/>
      <c r="B31" s="9" t="s">
        <v>2</v>
      </c>
      <c r="C31" s="11" t="s">
        <v>52</v>
      </c>
      <c r="D31" s="9" t="s">
        <v>39</v>
      </c>
      <c r="F31" s="35"/>
      <c r="G31" s="35">
        <f>$F$28/'Fixed data'!$C$7</f>
        <v>-3.1699048888888887E-2</v>
      </c>
      <c r="H31" s="35">
        <f>$F$28/'Fixed data'!$C$7</f>
        <v>-3.1699048888888887E-2</v>
      </c>
      <c r="I31" s="35">
        <f>$F$28/'Fixed data'!$C$7</f>
        <v>-3.1699048888888887E-2</v>
      </c>
      <c r="J31" s="35">
        <f>$F$28/'Fixed data'!$C$7</f>
        <v>-3.1699048888888887E-2</v>
      </c>
      <c r="K31" s="35">
        <f>$F$28/'Fixed data'!$C$7</f>
        <v>-3.1699048888888887E-2</v>
      </c>
      <c r="L31" s="35">
        <f>$F$28/'Fixed data'!$C$7</f>
        <v>-3.1699048888888887E-2</v>
      </c>
      <c r="M31" s="35">
        <f>$F$28/'Fixed data'!$C$7</f>
        <v>-3.1699048888888887E-2</v>
      </c>
      <c r="N31" s="35">
        <f>$F$28/'Fixed data'!$C$7</f>
        <v>-3.1699048888888887E-2</v>
      </c>
      <c r="O31" s="35">
        <f>$F$28/'Fixed data'!$C$7</f>
        <v>-3.1699048888888887E-2</v>
      </c>
      <c r="P31" s="35">
        <f>$F$28/'Fixed data'!$C$7</f>
        <v>-3.1699048888888887E-2</v>
      </c>
      <c r="Q31" s="35">
        <f>$F$28/'Fixed data'!$C$7</f>
        <v>-3.1699048888888887E-2</v>
      </c>
      <c r="R31" s="35">
        <f>$F$28/'Fixed data'!$C$7</f>
        <v>-3.1699048888888887E-2</v>
      </c>
      <c r="S31" s="35">
        <f>$F$28/'Fixed data'!$C$7</f>
        <v>-3.1699048888888887E-2</v>
      </c>
      <c r="T31" s="35">
        <f>$F$28/'Fixed data'!$C$7</f>
        <v>-3.1699048888888887E-2</v>
      </c>
      <c r="U31" s="35">
        <f>$F$28/'Fixed data'!$C$7</f>
        <v>-3.1699048888888887E-2</v>
      </c>
      <c r="V31" s="35">
        <f>$F$28/'Fixed data'!$C$7</f>
        <v>-3.1699048888888887E-2</v>
      </c>
      <c r="W31" s="35">
        <f>$F$28/'Fixed data'!$C$7</f>
        <v>-3.1699048888888887E-2</v>
      </c>
      <c r="X31" s="35">
        <f>$F$28/'Fixed data'!$C$7</f>
        <v>-3.1699048888888887E-2</v>
      </c>
      <c r="Y31" s="35">
        <f>$F$28/'Fixed data'!$C$7</f>
        <v>-3.1699048888888887E-2</v>
      </c>
      <c r="Z31" s="35">
        <f>$F$28/'Fixed data'!$C$7</f>
        <v>-3.1699048888888887E-2</v>
      </c>
      <c r="AA31" s="35">
        <f>$F$28/'Fixed data'!$C$7</f>
        <v>-3.1699048888888887E-2</v>
      </c>
      <c r="AB31" s="35">
        <f>$F$28/'Fixed data'!$C$7</f>
        <v>-3.1699048888888887E-2</v>
      </c>
      <c r="AC31" s="35">
        <f>$F$28/'Fixed data'!$C$7</f>
        <v>-3.1699048888888887E-2</v>
      </c>
      <c r="AD31" s="35">
        <f>$F$28/'Fixed data'!$C$7</f>
        <v>-3.1699048888888887E-2</v>
      </c>
      <c r="AE31" s="35">
        <f>$F$28/'Fixed data'!$C$7</f>
        <v>-3.1699048888888887E-2</v>
      </c>
      <c r="AF31" s="35">
        <f>$F$28/'Fixed data'!$C$7</f>
        <v>-3.1699048888888887E-2</v>
      </c>
      <c r="AG31" s="35">
        <f>$F$28/'Fixed data'!$C$7</f>
        <v>-3.1699048888888887E-2</v>
      </c>
      <c r="AH31" s="35">
        <f>$F$28/'Fixed data'!$C$7</f>
        <v>-3.1699048888888887E-2</v>
      </c>
      <c r="AI31" s="35">
        <f>$F$28/'Fixed data'!$C$7</f>
        <v>-3.1699048888888887E-2</v>
      </c>
      <c r="AJ31" s="35">
        <f>$F$28/'Fixed data'!$C$7</f>
        <v>-3.1699048888888887E-2</v>
      </c>
      <c r="AK31" s="35">
        <f>$F$28/'Fixed data'!$C$7</f>
        <v>-3.1699048888888887E-2</v>
      </c>
      <c r="AL31" s="35">
        <f>$F$28/'Fixed data'!$C$7</f>
        <v>-3.1699048888888887E-2</v>
      </c>
      <c r="AM31" s="35">
        <f>$F$28/'Fixed data'!$C$7</f>
        <v>-3.1699048888888887E-2</v>
      </c>
      <c r="AN31" s="35">
        <f>$F$28/'Fixed data'!$C$7</f>
        <v>-3.1699048888888887E-2</v>
      </c>
      <c r="AO31" s="35">
        <f>$F$28/'Fixed data'!$C$7</f>
        <v>-3.1699048888888887E-2</v>
      </c>
      <c r="AP31" s="35">
        <f>$F$28/'Fixed data'!$C$7</f>
        <v>-3.1699048888888887E-2</v>
      </c>
      <c r="AQ31" s="35">
        <f>$F$28/'Fixed data'!$C$7</f>
        <v>-3.1699048888888887E-2</v>
      </c>
      <c r="AR31" s="35">
        <f>$F$28/'Fixed data'!$C$7</f>
        <v>-3.1699048888888887E-2</v>
      </c>
      <c r="AS31" s="35">
        <f>$F$28/'Fixed data'!$C$7</f>
        <v>-3.1699048888888887E-2</v>
      </c>
      <c r="AT31" s="35">
        <f>$F$28/'Fixed data'!$C$7</f>
        <v>-3.1699048888888887E-2</v>
      </c>
      <c r="AU31" s="35">
        <f>$F$28/'Fixed data'!$C$7</f>
        <v>-3.1699048888888887E-2</v>
      </c>
      <c r="AV31" s="35">
        <f>$F$28/'Fixed data'!$C$7</f>
        <v>-3.1699048888888887E-2</v>
      </c>
      <c r="AW31" s="35">
        <f>$F$28/'Fixed data'!$C$7</f>
        <v>-3.1699048888888887E-2</v>
      </c>
      <c r="AX31" s="35">
        <f>$F$28/'Fixed data'!$C$7</f>
        <v>-3.1699048888888887E-2</v>
      </c>
      <c r="AY31" s="35">
        <f>$F$28/'Fixed data'!$C$7</f>
        <v>-3.1699048888888887E-2</v>
      </c>
      <c r="AZ31" s="35"/>
      <c r="BA31" s="35"/>
      <c r="BB31" s="35"/>
      <c r="BC31" s="35"/>
      <c r="BD31" s="35"/>
    </row>
    <row r="32" spans="1:56" ht="16.5" hidden="1" customHeight="1" outlineLevel="1" x14ac:dyDescent="0.35">
      <c r="A32" s="114"/>
      <c r="B32" s="9" t="s">
        <v>3</v>
      </c>
      <c r="C32" s="11" t="s">
        <v>53</v>
      </c>
      <c r="D32" s="9" t="s">
        <v>39</v>
      </c>
      <c r="F32" s="35"/>
      <c r="G32" s="35"/>
      <c r="H32" s="35">
        <f>$G$28/'Fixed data'!$C$7</f>
        <v>-3.2959048888888891E-2</v>
      </c>
      <c r="I32" s="35">
        <f>$G$28/'Fixed data'!$C$7</f>
        <v>-3.2959048888888891E-2</v>
      </c>
      <c r="J32" s="35">
        <f>$G$28/'Fixed data'!$C$7</f>
        <v>-3.2959048888888891E-2</v>
      </c>
      <c r="K32" s="35">
        <f>$G$28/'Fixed data'!$C$7</f>
        <v>-3.2959048888888891E-2</v>
      </c>
      <c r="L32" s="35">
        <f>$G$28/'Fixed data'!$C$7</f>
        <v>-3.2959048888888891E-2</v>
      </c>
      <c r="M32" s="35">
        <f>$G$28/'Fixed data'!$C$7</f>
        <v>-3.2959048888888891E-2</v>
      </c>
      <c r="N32" s="35">
        <f>$G$28/'Fixed data'!$C$7</f>
        <v>-3.2959048888888891E-2</v>
      </c>
      <c r="O32" s="35">
        <f>$G$28/'Fixed data'!$C$7</f>
        <v>-3.2959048888888891E-2</v>
      </c>
      <c r="P32" s="35">
        <f>$G$28/'Fixed data'!$C$7</f>
        <v>-3.2959048888888891E-2</v>
      </c>
      <c r="Q32" s="35">
        <f>$G$28/'Fixed data'!$C$7</f>
        <v>-3.2959048888888891E-2</v>
      </c>
      <c r="R32" s="35">
        <f>$G$28/'Fixed data'!$C$7</f>
        <v>-3.2959048888888891E-2</v>
      </c>
      <c r="S32" s="35">
        <f>$G$28/'Fixed data'!$C$7</f>
        <v>-3.2959048888888891E-2</v>
      </c>
      <c r="T32" s="35">
        <f>$G$28/'Fixed data'!$C$7</f>
        <v>-3.2959048888888891E-2</v>
      </c>
      <c r="U32" s="35">
        <f>$G$28/'Fixed data'!$C$7</f>
        <v>-3.2959048888888891E-2</v>
      </c>
      <c r="V32" s="35">
        <f>$G$28/'Fixed data'!$C$7</f>
        <v>-3.2959048888888891E-2</v>
      </c>
      <c r="W32" s="35">
        <f>$G$28/'Fixed data'!$C$7</f>
        <v>-3.2959048888888891E-2</v>
      </c>
      <c r="X32" s="35">
        <f>$G$28/'Fixed data'!$C$7</f>
        <v>-3.2959048888888891E-2</v>
      </c>
      <c r="Y32" s="35">
        <f>$G$28/'Fixed data'!$C$7</f>
        <v>-3.2959048888888891E-2</v>
      </c>
      <c r="Z32" s="35">
        <f>$G$28/'Fixed data'!$C$7</f>
        <v>-3.2959048888888891E-2</v>
      </c>
      <c r="AA32" s="35">
        <f>$G$28/'Fixed data'!$C$7</f>
        <v>-3.2959048888888891E-2</v>
      </c>
      <c r="AB32" s="35">
        <f>$G$28/'Fixed data'!$C$7</f>
        <v>-3.2959048888888891E-2</v>
      </c>
      <c r="AC32" s="35">
        <f>$G$28/'Fixed data'!$C$7</f>
        <v>-3.2959048888888891E-2</v>
      </c>
      <c r="AD32" s="35">
        <f>$G$28/'Fixed data'!$C$7</f>
        <v>-3.2959048888888891E-2</v>
      </c>
      <c r="AE32" s="35">
        <f>$G$28/'Fixed data'!$C$7</f>
        <v>-3.2959048888888891E-2</v>
      </c>
      <c r="AF32" s="35">
        <f>$G$28/'Fixed data'!$C$7</f>
        <v>-3.2959048888888891E-2</v>
      </c>
      <c r="AG32" s="35">
        <f>$G$28/'Fixed data'!$C$7</f>
        <v>-3.2959048888888891E-2</v>
      </c>
      <c r="AH32" s="35">
        <f>$G$28/'Fixed data'!$C$7</f>
        <v>-3.2959048888888891E-2</v>
      </c>
      <c r="AI32" s="35">
        <f>$G$28/'Fixed data'!$C$7</f>
        <v>-3.2959048888888891E-2</v>
      </c>
      <c r="AJ32" s="35">
        <f>$G$28/'Fixed data'!$C$7</f>
        <v>-3.2959048888888891E-2</v>
      </c>
      <c r="AK32" s="35">
        <f>$G$28/'Fixed data'!$C$7</f>
        <v>-3.2959048888888891E-2</v>
      </c>
      <c r="AL32" s="35">
        <f>$G$28/'Fixed data'!$C$7</f>
        <v>-3.2959048888888891E-2</v>
      </c>
      <c r="AM32" s="35">
        <f>$G$28/'Fixed data'!$C$7</f>
        <v>-3.2959048888888891E-2</v>
      </c>
      <c r="AN32" s="35">
        <f>$G$28/'Fixed data'!$C$7</f>
        <v>-3.2959048888888891E-2</v>
      </c>
      <c r="AO32" s="35">
        <f>$G$28/'Fixed data'!$C$7</f>
        <v>-3.2959048888888891E-2</v>
      </c>
      <c r="AP32" s="35">
        <f>$G$28/'Fixed data'!$C$7</f>
        <v>-3.2959048888888891E-2</v>
      </c>
      <c r="AQ32" s="35">
        <f>$G$28/'Fixed data'!$C$7</f>
        <v>-3.2959048888888891E-2</v>
      </c>
      <c r="AR32" s="35">
        <f>$G$28/'Fixed data'!$C$7</f>
        <v>-3.2959048888888891E-2</v>
      </c>
      <c r="AS32" s="35">
        <f>$G$28/'Fixed data'!$C$7</f>
        <v>-3.2959048888888891E-2</v>
      </c>
      <c r="AT32" s="35">
        <f>$G$28/'Fixed data'!$C$7</f>
        <v>-3.2959048888888891E-2</v>
      </c>
      <c r="AU32" s="35">
        <f>$G$28/'Fixed data'!$C$7</f>
        <v>-3.2959048888888891E-2</v>
      </c>
      <c r="AV32" s="35">
        <f>$G$28/'Fixed data'!$C$7</f>
        <v>-3.2959048888888891E-2</v>
      </c>
      <c r="AW32" s="35">
        <f>$G$28/'Fixed data'!$C$7</f>
        <v>-3.2959048888888891E-2</v>
      </c>
      <c r="AX32" s="35">
        <f>$G$28/'Fixed data'!$C$7</f>
        <v>-3.2959048888888891E-2</v>
      </c>
      <c r="AY32" s="35">
        <f>$G$28/'Fixed data'!$C$7</f>
        <v>-3.2959048888888891E-2</v>
      </c>
      <c r="AZ32" s="35">
        <f>$G$28/'Fixed data'!$C$7</f>
        <v>-3.2959048888888891E-2</v>
      </c>
      <c r="BA32" s="35"/>
      <c r="BB32" s="35"/>
      <c r="BC32" s="35"/>
      <c r="BD32" s="35"/>
    </row>
    <row r="33" spans="1:57" ht="16.5" hidden="1" customHeight="1" outlineLevel="1" x14ac:dyDescent="0.35">
      <c r="A33" s="114"/>
      <c r="B33" s="9" t="s">
        <v>4</v>
      </c>
      <c r="C33" s="11" t="s">
        <v>54</v>
      </c>
      <c r="D33" s="9" t="s">
        <v>39</v>
      </c>
      <c r="F33" s="35"/>
      <c r="G33" s="35"/>
      <c r="H33" s="35"/>
      <c r="I33" s="35">
        <f>$H$28/'Fixed data'!$C$7</f>
        <v>-3.3775606666666666E-2</v>
      </c>
      <c r="J33" s="35">
        <f>$H$28/'Fixed data'!$C$7</f>
        <v>-3.3775606666666666E-2</v>
      </c>
      <c r="K33" s="35">
        <f>$H$28/'Fixed data'!$C$7</f>
        <v>-3.3775606666666666E-2</v>
      </c>
      <c r="L33" s="35">
        <f>$H$28/'Fixed data'!$C$7</f>
        <v>-3.3775606666666666E-2</v>
      </c>
      <c r="M33" s="35">
        <f>$H$28/'Fixed data'!$C$7</f>
        <v>-3.3775606666666666E-2</v>
      </c>
      <c r="N33" s="35">
        <f>$H$28/'Fixed data'!$C$7</f>
        <v>-3.3775606666666666E-2</v>
      </c>
      <c r="O33" s="35">
        <f>$H$28/'Fixed data'!$C$7</f>
        <v>-3.3775606666666666E-2</v>
      </c>
      <c r="P33" s="35">
        <f>$H$28/'Fixed data'!$C$7</f>
        <v>-3.3775606666666666E-2</v>
      </c>
      <c r="Q33" s="35">
        <f>$H$28/'Fixed data'!$C$7</f>
        <v>-3.3775606666666666E-2</v>
      </c>
      <c r="R33" s="35">
        <f>$H$28/'Fixed data'!$C$7</f>
        <v>-3.3775606666666666E-2</v>
      </c>
      <c r="S33" s="35">
        <f>$H$28/'Fixed data'!$C$7</f>
        <v>-3.3775606666666666E-2</v>
      </c>
      <c r="T33" s="35">
        <f>$H$28/'Fixed data'!$C$7</f>
        <v>-3.3775606666666666E-2</v>
      </c>
      <c r="U33" s="35">
        <f>$H$28/'Fixed data'!$C$7</f>
        <v>-3.3775606666666666E-2</v>
      </c>
      <c r="V33" s="35">
        <f>$H$28/'Fixed data'!$C$7</f>
        <v>-3.3775606666666666E-2</v>
      </c>
      <c r="W33" s="35">
        <f>$H$28/'Fixed data'!$C$7</f>
        <v>-3.3775606666666666E-2</v>
      </c>
      <c r="X33" s="35">
        <f>$H$28/'Fixed data'!$C$7</f>
        <v>-3.3775606666666666E-2</v>
      </c>
      <c r="Y33" s="35">
        <f>$H$28/'Fixed data'!$C$7</f>
        <v>-3.3775606666666666E-2</v>
      </c>
      <c r="Z33" s="35">
        <f>$H$28/'Fixed data'!$C$7</f>
        <v>-3.3775606666666666E-2</v>
      </c>
      <c r="AA33" s="35">
        <f>$H$28/'Fixed data'!$C$7</f>
        <v>-3.3775606666666666E-2</v>
      </c>
      <c r="AB33" s="35">
        <f>$H$28/'Fixed data'!$C$7</f>
        <v>-3.3775606666666666E-2</v>
      </c>
      <c r="AC33" s="35">
        <f>$H$28/'Fixed data'!$C$7</f>
        <v>-3.3775606666666666E-2</v>
      </c>
      <c r="AD33" s="35">
        <f>$H$28/'Fixed data'!$C$7</f>
        <v>-3.3775606666666666E-2</v>
      </c>
      <c r="AE33" s="35">
        <f>$H$28/'Fixed data'!$C$7</f>
        <v>-3.3775606666666666E-2</v>
      </c>
      <c r="AF33" s="35">
        <f>$H$28/'Fixed data'!$C$7</f>
        <v>-3.3775606666666666E-2</v>
      </c>
      <c r="AG33" s="35">
        <f>$H$28/'Fixed data'!$C$7</f>
        <v>-3.3775606666666666E-2</v>
      </c>
      <c r="AH33" s="35">
        <f>$H$28/'Fixed data'!$C$7</f>
        <v>-3.3775606666666666E-2</v>
      </c>
      <c r="AI33" s="35">
        <f>$H$28/'Fixed data'!$C$7</f>
        <v>-3.3775606666666666E-2</v>
      </c>
      <c r="AJ33" s="35">
        <f>$H$28/'Fixed data'!$C$7</f>
        <v>-3.3775606666666666E-2</v>
      </c>
      <c r="AK33" s="35">
        <f>$H$28/'Fixed data'!$C$7</f>
        <v>-3.3775606666666666E-2</v>
      </c>
      <c r="AL33" s="35">
        <f>$H$28/'Fixed data'!$C$7</f>
        <v>-3.3775606666666666E-2</v>
      </c>
      <c r="AM33" s="35">
        <f>$H$28/'Fixed data'!$C$7</f>
        <v>-3.3775606666666666E-2</v>
      </c>
      <c r="AN33" s="35">
        <f>$H$28/'Fixed data'!$C$7</f>
        <v>-3.3775606666666666E-2</v>
      </c>
      <c r="AO33" s="35">
        <f>$H$28/'Fixed data'!$C$7</f>
        <v>-3.3775606666666666E-2</v>
      </c>
      <c r="AP33" s="35">
        <f>$H$28/'Fixed data'!$C$7</f>
        <v>-3.3775606666666666E-2</v>
      </c>
      <c r="AQ33" s="35">
        <f>$H$28/'Fixed data'!$C$7</f>
        <v>-3.3775606666666666E-2</v>
      </c>
      <c r="AR33" s="35">
        <f>$H$28/'Fixed data'!$C$7</f>
        <v>-3.3775606666666666E-2</v>
      </c>
      <c r="AS33" s="35">
        <f>$H$28/'Fixed data'!$C$7</f>
        <v>-3.3775606666666666E-2</v>
      </c>
      <c r="AT33" s="35">
        <f>$H$28/'Fixed data'!$C$7</f>
        <v>-3.3775606666666666E-2</v>
      </c>
      <c r="AU33" s="35">
        <f>$H$28/'Fixed data'!$C$7</f>
        <v>-3.3775606666666666E-2</v>
      </c>
      <c r="AV33" s="35">
        <f>$H$28/'Fixed data'!$C$7</f>
        <v>-3.3775606666666666E-2</v>
      </c>
      <c r="AW33" s="35">
        <f>$H$28/'Fixed data'!$C$7</f>
        <v>-3.3775606666666666E-2</v>
      </c>
      <c r="AX33" s="35">
        <f>$H$28/'Fixed data'!$C$7</f>
        <v>-3.3775606666666666E-2</v>
      </c>
      <c r="AY33" s="35">
        <f>$H$28/'Fixed data'!$C$7</f>
        <v>-3.3775606666666666E-2</v>
      </c>
      <c r="AZ33" s="35">
        <f>$H$28/'Fixed data'!$C$7</f>
        <v>-3.3775606666666666E-2</v>
      </c>
      <c r="BA33" s="35">
        <f>$H$28/'Fixed data'!$C$7</f>
        <v>-3.3775606666666666E-2</v>
      </c>
      <c r="BB33" s="35"/>
      <c r="BC33" s="35"/>
      <c r="BD33" s="35"/>
    </row>
    <row r="34" spans="1:57" ht="16.5" hidden="1" customHeight="1" outlineLevel="1" x14ac:dyDescent="0.35">
      <c r="A34" s="114"/>
      <c r="B34" s="9" t="s">
        <v>5</v>
      </c>
      <c r="C34" s="11" t="s">
        <v>55</v>
      </c>
      <c r="D34" s="9" t="s">
        <v>39</v>
      </c>
      <c r="F34" s="35"/>
      <c r="G34" s="35"/>
      <c r="H34" s="35"/>
      <c r="I34" s="35"/>
      <c r="J34" s="35">
        <f>$I$28/'Fixed data'!$C$7</f>
        <v>-2.9415539999999997E-2</v>
      </c>
      <c r="K34" s="35">
        <f>$I$28/'Fixed data'!$C$7</f>
        <v>-2.9415539999999997E-2</v>
      </c>
      <c r="L34" s="35">
        <f>$I$28/'Fixed data'!$C$7</f>
        <v>-2.9415539999999997E-2</v>
      </c>
      <c r="M34" s="35">
        <f>$I$28/'Fixed data'!$C$7</f>
        <v>-2.9415539999999997E-2</v>
      </c>
      <c r="N34" s="35">
        <f>$I$28/'Fixed data'!$C$7</f>
        <v>-2.9415539999999997E-2</v>
      </c>
      <c r="O34" s="35">
        <f>$I$28/'Fixed data'!$C$7</f>
        <v>-2.9415539999999997E-2</v>
      </c>
      <c r="P34" s="35">
        <f>$I$28/'Fixed data'!$C$7</f>
        <v>-2.9415539999999997E-2</v>
      </c>
      <c r="Q34" s="35">
        <f>$I$28/'Fixed data'!$C$7</f>
        <v>-2.9415539999999997E-2</v>
      </c>
      <c r="R34" s="35">
        <f>$I$28/'Fixed data'!$C$7</f>
        <v>-2.9415539999999997E-2</v>
      </c>
      <c r="S34" s="35">
        <f>$I$28/'Fixed data'!$C$7</f>
        <v>-2.9415539999999997E-2</v>
      </c>
      <c r="T34" s="35">
        <f>$I$28/'Fixed data'!$C$7</f>
        <v>-2.9415539999999997E-2</v>
      </c>
      <c r="U34" s="35">
        <f>$I$28/'Fixed data'!$C$7</f>
        <v>-2.9415539999999997E-2</v>
      </c>
      <c r="V34" s="35">
        <f>$I$28/'Fixed data'!$C$7</f>
        <v>-2.9415539999999997E-2</v>
      </c>
      <c r="W34" s="35">
        <f>$I$28/'Fixed data'!$C$7</f>
        <v>-2.9415539999999997E-2</v>
      </c>
      <c r="X34" s="35">
        <f>$I$28/'Fixed data'!$C$7</f>
        <v>-2.9415539999999997E-2</v>
      </c>
      <c r="Y34" s="35">
        <f>$I$28/'Fixed data'!$C$7</f>
        <v>-2.9415539999999997E-2</v>
      </c>
      <c r="Z34" s="35">
        <f>$I$28/'Fixed data'!$C$7</f>
        <v>-2.9415539999999997E-2</v>
      </c>
      <c r="AA34" s="35">
        <f>$I$28/'Fixed data'!$C$7</f>
        <v>-2.9415539999999997E-2</v>
      </c>
      <c r="AB34" s="35">
        <f>$I$28/'Fixed data'!$C$7</f>
        <v>-2.9415539999999997E-2</v>
      </c>
      <c r="AC34" s="35">
        <f>$I$28/'Fixed data'!$C$7</f>
        <v>-2.9415539999999997E-2</v>
      </c>
      <c r="AD34" s="35">
        <f>$I$28/'Fixed data'!$C$7</f>
        <v>-2.9415539999999997E-2</v>
      </c>
      <c r="AE34" s="35">
        <f>$I$28/'Fixed data'!$C$7</f>
        <v>-2.9415539999999997E-2</v>
      </c>
      <c r="AF34" s="35">
        <f>$I$28/'Fixed data'!$C$7</f>
        <v>-2.9415539999999997E-2</v>
      </c>
      <c r="AG34" s="35">
        <f>$I$28/'Fixed data'!$C$7</f>
        <v>-2.9415539999999997E-2</v>
      </c>
      <c r="AH34" s="35">
        <f>$I$28/'Fixed data'!$C$7</f>
        <v>-2.9415539999999997E-2</v>
      </c>
      <c r="AI34" s="35">
        <f>$I$28/'Fixed data'!$C$7</f>
        <v>-2.9415539999999997E-2</v>
      </c>
      <c r="AJ34" s="35">
        <f>$I$28/'Fixed data'!$C$7</f>
        <v>-2.9415539999999997E-2</v>
      </c>
      <c r="AK34" s="35">
        <f>$I$28/'Fixed data'!$C$7</f>
        <v>-2.9415539999999997E-2</v>
      </c>
      <c r="AL34" s="35">
        <f>$I$28/'Fixed data'!$C$7</f>
        <v>-2.9415539999999997E-2</v>
      </c>
      <c r="AM34" s="35">
        <f>$I$28/'Fixed data'!$C$7</f>
        <v>-2.9415539999999997E-2</v>
      </c>
      <c r="AN34" s="35">
        <f>$I$28/'Fixed data'!$C$7</f>
        <v>-2.9415539999999997E-2</v>
      </c>
      <c r="AO34" s="35">
        <f>$I$28/'Fixed data'!$C$7</f>
        <v>-2.9415539999999997E-2</v>
      </c>
      <c r="AP34" s="35">
        <f>$I$28/'Fixed data'!$C$7</f>
        <v>-2.9415539999999997E-2</v>
      </c>
      <c r="AQ34" s="35">
        <f>$I$28/'Fixed data'!$C$7</f>
        <v>-2.9415539999999997E-2</v>
      </c>
      <c r="AR34" s="35">
        <f>$I$28/'Fixed data'!$C$7</f>
        <v>-2.9415539999999997E-2</v>
      </c>
      <c r="AS34" s="35">
        <f>$I$28/'Fixed data'!$C$7</f>
        <v>-2.9415539999999997E-2</v>
      </c>
      <c r="AT34" s="35">
        <f>$I$28/'Fixed data'!$C$7</f>
        <v>-2.9415539999999997E-2</v>
      </c>
      <c r="AU34" s="35">
        <f>$I$28/'Fixed data'!$C$7</f>
        <v>-2.9415539999999997E-2</v>
      </c>
      <c r="AV34" s="35">
        <f>$I$28/'Fixed data'!$C$7</f>
        <v>-2.9415539999999997E-2</v>
      </c>
      <c r="AW34" s="35">
        <f>$I$28/'Fixed data'!$C$7</f>
        <v>-2.9415539999999997E-2</v>
      </c>
      <c r="AX34" s="35">
        <f>$I$28/'Fixed data'!$C$7</f>
        <v>-2.9415539999999997E-2</v>
      </c>
      <c r="AY34" s="35">
        <f>$I$28/'Fixed data'!$C$7</f>
        <v>-2.9415539999999997E-2</v>
      </c>
      <c r="AZ34" s="35">
        <f>$I$28/'Fixed data'!$C$7</f>
        <v>-2.9415539999999997E-2</v>
      </c>
      <c r="BA34" s="35">
        <f>$I$28/'Fixed data'!$C$7</f>
        <v>-2.9415539999999997E-2</v>
      </c>
      <c r="BB34" s="35">
        <f>$I$28/'Fixed data'!$C$7</f>
        <v>-2.9415539999999997E-2</v>
      </c>
      <c r="BC34" s="35"/>
      <c r="BD34" s="35"/>
    </row>
    <row r="35" spans="1:57" ht="16.5" hidden="1" customHeight="1" outlineLevel="1" x14ac:dyDescent="0.35">
      <c r="A35" s="114"/>
      <c r="B35" s="9" t="s">
        <v>6</v>
      </c>
      <c r="C35" s="11" t="s">
        <v>56</v>
      </c>
      <c r="D35" s="9" t="s">
        <v>39</v>
      </c>
      <c r="F35" s="35"/>
      <c r="G35" s="35"/>
      <c r="H35" s="35"/>
      <c r="I35" s="35"/>
      <c r="J35" s="35"/>
      <c r="K35" s="35">
        <f>$J$28/'Fixed data'!$C$7</f>
        <v>-4.3166666666666666E-2</v>
      </c>
      <c r="L35" s="35">
        <f>$J$28/'Fixed data'!$C$7</f>
        <v>-4.3166666666666666E-2</v>
      </c>
      <c r="M35" s="35">
        <f>$J$28/'Fixed data'!$C$7</f>
        <v>-4.3166666666666666E-2</v>
      </c>
      <c r="N35" s="35">
        <f>$J$28/'Fixed data'!$C$7</f>
        <v>-4.3166666666666666E-2</v>
      </c>
      <c r="O35" s="35">
        <f>$J$28/'Fixed data'!$C$7</f>
        <v>-4.3166666666666666E-2</v>
      </c>
      <c r="P35" s="35">
        <f>$J$28/'Fixed data'!$C$7</f>
        <v>-4.3166666666666666E-2</v>
      </c>
      <c r="Q35" s="35">
        <f>$J$28/'Fixed data'!$C$7</f>
        <v>-4.3166666666666666E-2</v>
      </c>
      <c r="R35" s="35">
        <f>$J$28/'Fixed data'!$C$7</f>
        <v>-4.3166666666666666E-2</v>
      </c>
      <c r="S35" s="35">
        <f>$J$28/'Fixed data'!$C$7</f>
        <v>-4.3166666666666666E-2</v>
      </c>
      <c r="T35" s="35">
        <f>$J$28/'Fixed data'!$C$7</f>
        <v>-4.3166666666666666E-2</v>
      </c>
      <c r="U35" s="35">
        <f>$J$28/'Fixed data'!$C$7</f>
        <v>-4.3166666666666666E-2</v>
      </c>
      <c r="V35" s="35">
        <f>$J$28/'Fixed data'!$C$7</f>
        <v>-4.3166666666666666E-2</v>
      </c>
      <c r="W35" s="35">
        <f>$J$28/'Fixed data'!$C$7</f>
        <v>-4.3166666666666666E-2</v>
      </c>
      <c r="X35" s="35">
        <f>$J$28/'Fixed data'!$C$7</f>
        <v>-4.3166666666666666E-2</v>
      </c>
      <c r="Y35" s="35">
        <f>$J$28/'Fixed data'!$C$7</f>
        <v>-4.3166666666666666E-2</v>
      </c>
      <c r="Z35" s="35">
        <f>$J$28/'Fixed data'!$C$7</f>
        <v>-4.3166666666666666E-2</v>
      </c>
      <c r="AA35" s="35">
        <f>$J$28/'Fixed data'!$C$7</f>
        <v>-4.3166666666666666E-2</v>
      </c>
      <c r="AB35" s="35">
        <f>$J$28/'Fixed data'!$C$7</f>
        <v>-4.3166666666666666E-2</v>
      </c>
      <c r="AC35" s="35">
        <f>$J$28/'Fixed data'!$C$7</f>
        <v>-4.3166666666666666E-2</v>
      </c>
      <c r="AD35" s="35">
        <f>$J$28/'Fixed data'!$C$7</f>
        <v>-4.3166666666666666E-2</v>
      </c>
      <c r="AE35" s="35">
        <f>$J$28/'Fixed data'!$C$7</f>
        <v>-4.3166666666666666E-2</v>
      </c>
      <c r="AF35" s="35">
        <f>$J$28/'Fixed data'!$C$7</f>
        <v>-4.3166666666666666E-2</v>
      </c>
      <c r="AG35" s="35">
        <f>$J$28/'Fixed data'!$C$7</f>
        <v>-4.3166666666666666E-2</v>
      </c>
      <c r="AH35" s="35">
        <f>$J$28/'Fixed data'!$C$7</f>
        <v>-4.3166666666666666E-2</v>
      </c>
      <c r="AI35" s="35">
        <f>$J$28/'Fixed data'!$C$7</f>
        <v>-4.3166666666666666E-2</v>
      </c>
      <c r="AJ35" s="35">
        <f>$J$28/'Fixed data'!$C$7</f>
        <v>-4.3166666666666666E-2</v>
      </c>
      <c r="AK35" s="35">
        <f>$J$28/'Fixed data'!$C$7</f>
        <v>-4.3166666666666666E-2</v>
      </c>
      <c r="AL35" s="35">
        <f>$J$28/'Fixed data'!$C$7</f>
        <v>-4.3166666666666666E-2</v>
      </c>
      <c r="AM35" s="35">
        <f>$J$28/'Fixed data'!$C$7</f>
        <v>-4.3166666666666666E-2</v>
      </c>
      <c r="AN35" s="35">
        <f>$J$28/'Fixed data'!$C$7</f>
        <v>-4.3166666666666666E-2</v>
      </c>
      <c r="AO35" s="35">
        <f>$J$28/'Fixed data'!$C$7</f>
        <v>-4.3166666666666666E-2</v>
      </c>
      <c r="AP35" s="35">
        <f>$J$28/'Fixed data'!$C$7</f>
        <v>-4.3166666666666666E-2</v>
      </c>
      <c r="AQ35" s="35">
        <f>$J$28/'Fixed data'!$C$7</f>
        <v>-4.3166666666666666E-2</v>
      </c>
      <c r="AR35" s="35">
        <f>$J$28/'Fixed data'!$C$7</f>
        <v>-4.3166666666666666E-2</v>
      </c>
      <c r="AS35" s="35">
        <f>$J$28/'Fixed data'!$C$7</f>
        <v>-4.3166666666666666E-2</v>
      </c>
      <c r="AT35" s="35">
        <f>$J$28/'Fixed data'!$C$7</f>
        <v>-4.3166666666666666E-2</v>
      </c>
      <c r="AU35" s="35">
        <f>$J$28/'Fixed data'!$C$7</f>
        <v>-4.3166666666666666E-2</v>
      </c>
      <c r="AV35" s="35">
        <f>$J$28/'Fixed data'!$C$7</f>
        <v>-4.3166666666666666E-2</v>
      </c>
      <c r="AW35" s="35">
        <f>$J$28/'Fixed data'!$C$7</f>
        <v>-4.3166666666666666E-2</v>
      </c>
      <c r="AX35" s="35">
        <f>$J$28/'Fixed data'!$C$7</f>
        <v>-4.3166666666666666E-2</v>
      </c>
      <c r="AY35" s="35">
        <f>$J$28/'Fixed data'!$C$7</f>
        <v>-4.3166666666666666E-2</v>
      </c>
      <c r="AZ35" s="35">
        <f>$J$28/'Fixed data'!$C$7</f>
        <v>-4.3166666666666666E-2</v>
      </c>
      <c r="BA35" s="35">
        <f>$J$28/'Fixed data'!$C$7</f>
        <v>-4.3166666666666666E-2</v>
      </c>
      <c r="BB35" s="35">
        <f>$J$28/'Fixed data'!$C$7</f>
        <v>-4.3166666666666666E-2</v>
      </c>
      <c r="BC35" s="35">
        <f>$J$28/'Fixed data'!$C$7</f>
        <v>-4.3166666666666666E-2</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-3.0986604444444444E-2</v>
      </c>
      <c r="G60" s="35">
        <f t="shared" si="5"/>
        <v>-6.2685653333333327E-2</v>
      </c>
      <c r="H60" s="35">
        <f t="shared" si="5"/>
        <v>-9.5644702222222211E-2</v>
      </c>
      <c r="I60" s="35">
        <f t="shared" si="5"/>
        <v>-0.12942030888888889</v>
      </c>
      <c r="J60" s="35">
        <f t="shared" si="5"/>
        <v>-0.15883584888888888</v>
      </c>
      <c r="K60" s="35">
        <f t="shared" si="5"/>
        <v>-0.20200251555555554</v>
      </c>
      <c r="L60" s="35">
        <f t="shared" si="5"/>
        <v>-0.20200251555555554</v>
      </c>
      <c r="M60" s="35">
        <f t="shared" si="5"/>
        <v>-0.20200251555555554</v>
      </c>
      <c r="N60" s="35">
        <f t="shared" si="5"/>
        <v>-0.20200251555555554</v>
      </c>
      <c r="O60" s="35">
        <f t="shared" si="5"/>
        <v>-0.20200251555555554</v>
      </c>
      <c r="P60" s="35">
        <f t="shared" si="5"/>
        <v>-0.20200251555555554</v>
      </c>
      <c r="Q60" s="35">
        <f t="shared" si="5"/>
        <v>-0.20200251555555554</v>
      </c>
      <c r="R60" s="35">
        <f t="shared" si="5"/>
        <v>-0.20200251555555554</v>
      </c>
      <c r="S60" s="35">
        <f t="shared" si="5"/>
        <v>-0.20200251555555554</v>
      </c>
      <c r="T60" s="35">
        <f t="shared" si="5"/>
        <v>-0.20200251555555554</v>
      </c>
      <c r="U60" s="35">
        <f t="shared" si="5"/>
        <v>-0.20200251555555554</v>
      </c>
      <c r="V60" s="35">
        <f t="shared" si="5"/>
        <v>-0.20200251555555554</v>
      </c>
      <c r="W60" s="35">
        <f t="shared" si="5"/>
        <v>-0.20200251555555554</v>
      </c>
      <c r="X60" s="35">
        <f t="shared" si="5"/>
        <v>-0.20200251555555554</v>
      </c>
      <c r="Y60" s="35">
        <f t="shared" si="5"/>
        <v>-0.20200251555555554</v>
      </c>
      <c r="Z60" s="35">
        <f t="shared" si="5"/>
        <v>-0.20200251555555554</v>
      </c>
      <c r="AA60" s="35">
        <f t="shared" si="5"/>
        <v>-0.20200251555555554</v>
      </c>
      <c r="AB60" s="35">
        <f t="shared" si="5"/>
        <v>-0.20200251555555554</v>
      </c>
      <c r="AC60" s="35">
        <f t="shared" si="5"/>
        <v>-0.20200251555555554</v>
      </c>
      <c r="AD60" s="35">
        <f t="shared" si="5"/>
        <v>-0.20200251555555554</v>
      </c>
      <c r="AE60" s="35">
        <f t="shared" si="5"/>
        <v>-0.20200251555555554</v>
      </c>
      <c r="AF60" s="35">
        <f t="shared" si="5"/>
        <v>-0.20200251555555554</v>
      </c>
      <c r="AG60" s="35">
        <f t="shared" si="5"/>
        <v>-0.20200251555555554</v>
      </c>
      <c r="AH60" s="35">
        <f t="shared" si="5"/>
        <v>-0.20200251555555554</v>
      </c>
      <c r="AI60" s="35">
        <f t="shared" si="5"/>
        <v>-0.20200251555555554</v>
      </c>
      <c r="AJ60" s="35">
        <f t="shared" si="5"/>
        <v>-0.20200251555555554</v>
      </c>
      <c r="AK60" s="35">
        <f t="shared" si="5"/>
        <v>-0.20200251555555554</v>
      </c>
      <c r="AL60" s="35">
        <f t="shared" si="5"/>
        <v>-0.20200251555555554</v>
      </c>
      <c r="AM60" s="35">
        <f t="shared" si="5"/>
        <v>-0.20200251555555554</v>
      </c>
      <c r="AN60" s="35">
        <f t="shared" si="5"/>
        <v>-0.20200251555555554</v>
      </c>
      <c r="AO60" s="35">
        <f t="shared" si="5"/>
        <v>-0.20200251555555554</v>
      </c>
      <c r="AP60" s="35">
        <f t="shared" si="5"/>
        <v>-0.20200251555555554</v>
      </c>
      <c r="AQ60" s="35">
        <f t="shared" si="5"/>
        <v>-0.20200251555555554</v>
      </c>
      <c r="AR60" s="35">
        <f t="shared" si="5"/>
        <v>-0.20200251555555554</v>
      </c>
      <c r="AS60" s="35">
        <f t="shared" si="5"/>
        <v>-0.20200251555555554</v>
      </c>
      <c r="AT60" s="35">
        <f t="shared" si="5"/>
        <v>-0.20200251555555554</v>
      </c>
      <c r="AU60" s="35">
        <f t="shared" si="5"/>
        <v>-0.20200251555555554</v>
      </c>
      <c r="AV60" s="35">
        <f t="shared" si="5"/>
        <v>-0.20200251555555554</v>
      </c>
      <c r="AW60" s="35">
        <f t="shared" si="5"/>
        <v>-0.20200251555555554</v>
      </c>
      <c r="AX60" s="35">
        <f t="shared" si="5"/>
        <v>-0.20200251555555554</v>
      </c>
      <c r="AY60" s="35">
        <f t="shared" si="5"/>
        <v>-0.17101591111111111</v>
      </c>
      <c r="AZ60" s="35">
        <f t="shared" si="5"/>
        <v>-0.1393168622222222</v>
      </c>
      <c r="BA60" s="35">
        <f t="shared" si="5"/>
        <v>-0.10635781333333333</v>
      </c>
      <c r="BB60" s="35">
        <f t="shared" si="5"/>
        <v>-7.2582206666666663E-2</v>
      </c>
      <c r="BC60" s="35">
        <f t="shared" si="5"/>
        <v>-4.3166666666666666E-2</v>
      </c>
      <c r="BD60" s="35">
        <f t="shared" si="5"/>
        <v>0</v>
      </c>
    </row>
    <row r="61" spans="1:56" ht="17.25" hidden="1" customHeight="1" outlineLevel="1" x14ac:dyDescent="0.35">
      <c r="A61" s="114"/>
      <c r="B61" s="9" t="s">
        <v>34</v>
      </c>
      <c r="C61" s="9" t="s">
        <v>60</v>
      </c>
      <c r="D61" s="9" t="s">
        <v>39</v>
      </c>
      <c r="E61" s="35">
        <v>0</v>
      </c>
      <c r="F61" s="35">
        <f>E62</f>
        <v>-1.3943972</v>
      </c>
      <c r="G61" s="35">
        <f t="shared" ref="G61:BD61" si="6">F62</f>
        <v>-2.7898677955555558</v>
      </c>
      <c r="H61" s="35">
        <f t="shared" si="6"/>
        <v>-4.2103393422222224</v>
      </c>
      <c r="I61" s="35">
        <f t="shared" si="6"/>
        <v>-5.6345969399999998</v>
      </c>
      <c r="J61" s="35">
        <f t="shared" si="6"/>
        <v>-6.8288759311111109</v>
      </c>
      <c r="K61" s="35">
        <f t="shared" si="6"/>
        <v>-8.6125400822222211</v>
      </c>
      <c r="L61" s="35">
        <f t="shared" si="6"/>
        <v>-8.4105375666666653</v>
      </c>
      <c r="M61" s="35">
        <f t="shared" si="6"/>
        <v>-8.2085350511111095</v>
      </c>
      <c r="N61" s="35">
        <f t="shared" si="6"/>
        <v>-8.0065325355555537</v>
      </c>
      <c r="O61" s="35">
        <f t="shared" si="6"/>
        <v>-7.8045300199999978</v>
      </c>
      <c r="P61" s="35">
        <f t="shared" si="6"/>
        <v>-7.602527504444442</v>
      </c>
      <c r="Q61" s="35">
        <f t="shared" si="6"/>
        <v>-7.4005249888888862</v>
      </c>
      <c r="R61" s="35">
        <f t="shared" si="6"/>
        <v>-7.1985224733333304</v>
      </c>
      <c r="S61" s="35">
        <f t="shared" si="6"/>
        <v>-6.9965199577777746</v>
      </c>
      <c r="T61" s="35">
        <f t="shared" si="6"/>
        <v>-6.7945174422222188</v>
      </c>
      <c r="U61" s="35">
        <f t="shared" si="6"/>
        <v>-6.5925149266666629</v>
      </c>
      <c r="V61" s="35">
        <f t="shared" si="6"/>
        <v>-6.3905124111111071</v>
      </c>
      <c r="W61" s="35">
        <f t="shared" si="6"/>
        <v>-6.1885098955555513</v>
      </c>
      <c r="X61" s="35">
        <f t="shared" si="6"/>
        <v>-5.9865073799999955</v>
      </c>
      <c r="Y61" s="35">
        <f t="shared" si="6"/>
        <v>-5.7845048644444397</v>
      </c>
      <c r="Z61" s="35">
        <f t="shared" si="6"/>
        <v>-5.5825023488888839</v>
      </c>
      <c r="AA61" s="35">
        <f t="shared" si="6"/>
        <v>-5.380499833333328</v>
      </c>
      <c r="AB61" s="35">
        <f t="shared" si="6"/>
        <v>-5.1784973177777722</v>
      </c>
      <c r="AC61" s="35">
        <f t="shared" si="6"/>
        <v>-4.9764948022222164</v>
      </c>
      <c r="AD61" s="35">
        <f t="shared" si="6"/>
        <v>-4.7744922866666606</v>
      </c>
      <c r="AE61" s="35">
        <f t="shared" si="6"/>
        <v>-4.5724897711111048</v>
      </c>
      <c r="AF61" s="35">
        <f t="shared" si="6"/>
        <v>-4.370487255555549</v>
      </c>
      <c r="AG61" s="35">
        <f t="shared" si="6"/>
        <v>-4.1684847399999931</v>
      </c>
      <c r="AH61" s="35">
        <f t="shared" si="6"/>
        <v>-3.9664822244444378</v>
      </c>
      <c r="AI61" s="35">
        <f t="shared" si="6"/>
        <v>-3.7644797088888824</v>
      </c>
      <c r="AJ61" s="35">
        <f t="shared" si="6"/>
        <v>-3.562477193333327</v>
      </c>
      <c r="AK61" s="35">
        <f t="shared" si="6"/>
        <v>-3.3604746777777716</v>
      </c>
      <c r="AL61" s="35">
        <f t="shared" si="6"/>
        <v>-3.1584721622222163</v>
      </c>
      <c r="AM61" s="35">
        <f t="shared" si="6"/>
        <v>-2.9564696466666609</v>
      </c>
      <c r="AN61" s="35">
        <f t="shared" si="6"/>
        <v>-2.7544671311111055</v>
      </c>
      <c r="AO61" s="35">
        <f t="shared" si="6"/>
        <v>-2.5524646155555502</v>
      </c>
      <c r="AP61" s="35">
        <f t="shared" si="6"/>
        <v>-2.3504620999999948</v>
      </c>
      <c r="AQ61" s="35">
        <f t="shared" si="6"/>
        <v>-2.1484595844444394</v>
      </c>
      <c r="AR61" s="35">
        <f t="shared" si="6"/>
        <v>-1.9464570688888838</v>
      </c>
      <c r="AS61" s="35">
        <f t="shared" si="6"/>
        <v>-1.7444545533333282</v>
      </c>
      <c r="AT61" s="35">
        <f t="shared" si="6"/>
        <v>-1.5424520377777726</v>
      </c>
      <c r="AU61" s="35">
        <f t="shared" si="6"/>
        <v>-1.340449522222217</v>
      </c>
      <c r="AV61" s="35">
        <f t="shared" si="6"/>
        <v>-1.1384470066666614</v>
      </c>
      <c r="AW61" s="35">
        <f t="shared" si="6"/>
        <v>-0.93644449111110584</v>
      </c>
      <c r="AX61" s="35">
        <f t="shared" si="6"/>
        <v>-0.73444197555555024</v>
      </c>
      <c r="AY61" s="35">
        <f t="shared" si="6"/>
        <v>-0.53243945999999465</v>
      </c>
      <c r="AZ61" s="35">
        <f t="shared" si="6"/>
        <v>-0.36142354888888351</v>
      </c>
      <c r="BA61" s="35">
        <f t="shared" si="6"/>
        <v>-0.22210668666666131</v>
      </c>
      <c r="BB61" s="35">
        <f t="shared" si="6"/>
        <v>-0.11574887333332798</v>
      </c>
      <c r="BC61" s="35">
        <f t="shared" si="6"/>
        <v>-4.3166666666661316E-2</v>
      </c>
      <c r="BD61" s="35">
        <f t="shared" si="6"/>
        <v>5.3498871999124731E-15</v>
      </c>
    </row>
    <row r="62" spans="1:56" ht="16.5" hidden="1" customHeight="1" outlineLevel="1" x14ac:dyDescent="0.3">
      <c r="A62" s="114"/>
      <c r="B62" s="9" t="s">
        <v>33</v>
      </c>
      <c r="C62" s="9" t="s">
        <v>67</v>
      </c>
      <c r="D62" s="9" t="s">
        <v>39</v>
      </c>
      <c r="E62" s="35">
        <f t="shared" ref="E62:BD62" si="7">E28-E60+E61</f>
        <v>-1.3943972</v>
      </c>
      <c r="F62" s="35">
        <f t="shared" si="7"/>
        <v>-2.7898677955555558</v>
      </c>
      <c r="G62" s="35">
        <f t="shared" si="7"/>
        <v>-4.2103393422222224</v>
      </c>
      <c r="H62" s="35">
        <f t="shared" si="7"/>
        <v>-5.6345969399999998</v>
      </c>
      <c r="I62" s="35">
        <f t="shared" si="7"/>
        <v>-6.8288759311111109</v>
      </c>
      <c r="J62" s="35">
        <f t="shared" si="7"/>
        <v>-8.6125400822222211</v>
      </c>
      <c r="K62" s="35">
        <f t="shared" si="7"/>
        <v>-8.4105375666666653</v>
      </c>
      <c r="L62" s="35">
        <f t="shared" si="7"/>
        <v>-8.2085350511111095</v>
      </c>
      <c r="M62" s="35">
        <f t="shared" si="7"/>
        <v>-8.0065325355555537</v>
      </c>
      <c r="N62" s="35">
        <f t="shared" si="7"/>
        <v>-7.8045300199999978</v>
      </c>
      <c r="O62" s="35">
        <f t="shared" si="7"/>
        <v>-7.602527504444442</v>
      </c>
      <c r="P62" s="35">
        <f t="shared" si="7"/>
        <v>-7.4005249888888862</v>
      </c>
      <c r="Q62" s="35">
        <f t="shared" si="7"/>
        <v>-7.1985224733333304</v>
      </c>
      <c r="R62" s="35">
        <f t="shared" si="7"/>
        <v>-6.9965199577777746</v>
      </c>
      <c r="S62" s="35">
        <f t="shared" si="7"/>
        <v>-6.7945174422222188</v>
      </c>
      <c r="T62" s="35">
        <f t="shared" si="7"/>
        <v>-6.5925149266666629</v>
      </c>
      <c r="U62" s="35">
        <f t="shared" si="7"/>
        <v>-6.3905124111111071</v>
      </c>
      <c r="V62" s="35">
        <f t="shared" si="7"/>
        <v>-6.1885098955555513</v>
      </c>
      <c r="W62" s="35">
        <f t="shared" si="7"/>
        <v>-5.9865073799999955</v>
      </c>
      <c r="X62" s="35">
        <f t="shared" si="7"/>
        <v>-5.7845048644444397</v>
      </c>
      <c r="Y62" s="35">
        <f t="shared" si="7"/>
        <v>-5.5825023488888839</v>
      </c>
      <c r="Z62" s="35">
        <f t="shared" si="7"/>
        <v>-5.380499833333328</v>
      </c>
      <c r="AA62" s="35">
        <f t="shared" si="7"/>
        <v>-5.1784973177777722</v>
      </c>
      <c r="AB62" s="35">
        <f t="shared" si="7"/>
        <v>-4.9764948022222164</v>
      </c>
      <c r="AC62" s="35">
        <f t="shared" si="7"/>
        <v>-4.7744922866666606</v>
      </c>
      <c r="AD62" s="35">
        <f t="shared" si="7"/>
        <v>-4.5724897711111048</v>
      </c>
      <c r="AE62" s="35">
        <f t="shared" si="7"/>
        <v>-4.370487255555549</v>
      </c>
      <c r="AF62" s="35">
        <f t="shared" si="7"/>
        <v>-4.1684847399999931</v>
      </c>
      <c r="AG62" s="35">
        <f t="shared" si="7"/>
        <v>-3.9664822244444378</v>
      </c>
      <c r="AH62" s="35">
        <f t="shared" si="7"/>
        <v>-3.7644797088888824</v>
      </c>
      <c r="AI62" s="35">
        <f t="shared" si="7"/>
        <v>-3.562477193333327</v>
      </c>
      <c r="AJ62" s="35">
        <f t="shared" si="7"/>
        <v>-3.3604746777777716</v>
      </c>
      <c r="AK62" s="35">
        <f t="shared" si="7"/>
        <v>-3.1584721622222163</v>
      </c>
      <c r="AL62" s="35">
        <f t="shared" si="7"/>
        <v>-2.9564696466666609</v>
      </c>
      <c r="AM62" s="35">
        <f t="shared" si="7"/>
        <v>-2.7544671311111055</v>
      </c>
      <c r="AN62" s="35">
        <f t="shared" si="7"/>
        <v>-2.5524646155555502</v>
      </c>
      <c r="AO62" s="35">
        <f t="shared" si="7"/>
        <v>-2.3504620999999948</v>
      </c>
      <c r="AP62" s="35">
        <f t="shared" si="7"/>
        <v>-2.1484595844444394</v>
      </c>
      <c r="AQ62" s="35">
        <f t="shared" si="7"/>
        <v>-1.9464570688888838</v>
      </c>
      <c r="AR62" s="35">
        <f t="shared" si="7"/>
        <v>-1.7444545533333282</v>
      </c>
      <c r="AS62" s="35">
        <f t="shared" si="7"/>
        <v>-1.5424520377777726</v>
      </c>
      <c r="AT62" s="35">
        <f t="shared" si="7"/>
        <v>-1.340449522222217</v>
      </c>
      <c r="AU62" s="35">
        <f t="shared" si="7"/>
        <v>-1.1384470066666614</v>
      </c>
      <c r="AV62" s="35">
        <f t="shared" si="7"/>
        <v>-0.93644449111110584</v>
      </c>
      <c r="AW62" s="35">
        <f t="shared" si="7"/>
        <v>-0.73444197555555024</v>
      </c>
      <c r="AX62" s="35">
        <f t="shared" si="7"/>
        <v>-0.53243945999999465</v>
      </c>
      <c r="AY62" s="35">
        <f t="shared" si="7"/>
        <v>-0.36142354888888351</v>
      </c>
      <c r="AZ62" s="35">
        <f t="shared" si="7"/>
        <v>-0.22210668666666131</v>
      </c>
      <c r="BA62" s="35">
        <f t="shared" si="7"/>
        <v>-0.11574887333332798</v>
      </c>
      <c r="BB62" s="35">
        <f t="shared" si="7"/>
        <v>-4.3166666666661316E-2</v>
      </c>
      <c r="BC62" s="35">
        <f t="shared" si="7"/>
        <v>5.3498871999124731E-15</v>
      </c>
      <c r="BD62" s="35">
        <f t="shared" si="7"/>
        <v>5.3498871999124731E-15</v>
      </c>
    </row>
    <row r="63" spans="1:56" ht="16.5" collapsed="1" x14ac:dyDescent="0.3">
      <c r="A63" s="114"/>
      <c r="B63" s="9" t="s">
        <v>8</v>
      </c>
      <c r="C63" s="11" t="s">
        <v>66</v>
      </c>
      <c r="D63" s="9" t="s">
        <v>39</v>
      </c>
      <c r="E63" s="35">
        <f>AVERAGE(E61:E62)*'Fixed data'!$C$3</f>
        <v>-2.7887944000000001E-2</v>
      </c>
      <c r="F63" s="35">
        <f>AVERAGE(F61:F62)*'Fixed data'!$C$3</f>
        <v>-8.3685299911111122E-2</v>
      </c>
      <c r="G63" s="35">
        <f>AVERAGE(G61:G62)*'Fixed data'!$C$3</f>
        <v>-0.14000414275555556</v>
      </c>
      <c r="H63" s="35">
        <f>AVERAGE(H61:H62)*'Fixed data'!$C$3</f>
        <v>-0.19689872564444444</v>
      </c>
      <c r="I63" s="35">
        <f>AVERAGE(I61:I62)*'Fixed data'!$C$3</f>
        <v>-0.24926945742222223</v>
      </c>
      <c r="J63" s="35">
        <f>AVERAGE(J61:J62)*'Fixed data'!$C$3</f>
        <v>-0.30882832026666662</v>
      </c>
      <c r="K63" s="35">
        <f>AVERAGE(K61:K62)*'Fixed data'!$C$3</f>
        <v>-0.34046155297777775</v>
      </c>
      <c r="L63" s="35">
        <f>AVERAGE(L61:L62)*'Fixed data'!$C$3</f>
        <v>-0.3323814523555555</v>
      </c>
      <c r="M63" s="35">
        <f>AVERAGE(M61:M62)*'Fixed data'!$C$3</f>
        <v>-0.32430135173333324</v>
      </c>
      <c r="N63" s="35">
        <f>AVERAGE(N61:N62)*'Fixed data'!$C$3</f>
        <v>-0.31622125111111105</v>
      </c>
      <c r="O63" s="35">
        <f>AVERAGE(O61:O62)*'Fixed data'!$C$3</f>
        <v>-0.30814115048888879</v>
      </c>
      <c r="P63" s="35">
        <f>AVERAGE(P61:P62)*'Fixed data'!$C$3</f>
        <v>-0.3000610498666666</v>
      </c>
      <c r="Q63" s="35">
        <f>AVERAGE(Q61:Q62)*'Fixed data'!$C$3</f>
        <v>-0.29198094924444434</v>
      </c>
      <c r="R63" s="35">
        <f>AVERAGE(R61:R62)*'Fixed data'!$C$3</f>
        <v>-0.28390084862222209</v>
      </c>
      <c r="S63" s="35">
        <f>AVERAGE(S61:S62)*'Fixed data'!$C$3</f>
        <v>-0.27582074799999989</v>
      </c>
      <c r="T63" s="35">
        <f>AVERAGE(T61:T62)*'Fixed data'!$C$3</f>
        <v>-0.26774064737777764</v>
      </c>
      <c r="U63" s="35">
        <f>AVERAGE(U61:U62)*'Fixed data'!$C$3</f>
        <v>-0.25966054675555539</v>
      </c>
      <c r="V63" s="35">
        <f>AVERAGE(V61:V62)*'Fixed data'!$C$3</f>
        <v>-0.25158044613333319</v>
      </c>
      <c r="W63" s="35">
        <f>AVERAGE(W61:W62)*'Fixed data'!$C$3</f>
        <v>-0.24350034551111094</v>
      </c>
      <c r="X63" s="35">
        <f>AVERAGE(X61:X62)*'Fixed data'!$C$3</f>
        <v>-0.23542024488888871</v>
      </c>
      <c r="Y63" s="35">
        <f>AVERAGE(Y61:Y62)*'Fixed data'!$C$3</f>
        <v>-0.22734014426666649</v>
      </c>
      <c r="Z63" s="35">
        <f>AVERAGE(Z61:Z62)*'Fixed data'!$C$3</f>
        <v>-0.21926004364444424</v>
      </c>
      <c r="AA63" s="35">
        <f>AVERAGE(AA61:AA62)*'Fixed data'!$C$3</f>
        <v>-0.21117994302222201</v>
      </c>
      <c r="AB63" s="35">
        <f>AVERAGE(AB61:AB62)*'Fixed data'!$C$3</f>
        <v>-0.20309984239999979</v>
      </c>
      <c r="AC63" s="35">
        <f>AVERAGE(AC61:AC62)*'Fixed data'!$C$3</f>
        <v>-0.19501974177777753</v>
      </c>
      <c r="AD63" s="35">
        <f>AVERAGE(AD61:AD62)*'Fixed data'!$C$3</f>
        <v>-0.18693964115555531</v>
      </c>
      <c r="AE63" s="35">
        <f>AVERAGE(AE61:AE62)*'Fixed data'!$C$3</f>
        <v>-0.17885954053333308</v>
      </c>
      <c r="AF63" s="35">
        <f>AVERAGE(AF61:AF62)*'Fixed data'!$C$3</f>
        <v>-0.17077943991111086</v>
      </c>
      <c r="AG63" s="35">
        <f>AVERAGE(AG61:AG62)*'Fixed data'!$C$3</f>
        <v>-0.16269933928888861</v>
      </c>
      <c r="AH63" s="35">
        <f>AVERAGE(AH61:AH62)*'Fixed data'!$C$3</f>
        <v>-0.15461923866666641</v>
      </c>
      <c r="AI63" s="35">
        <f>AVERAGE(AI61:AI62)*'Fixed data'!$C$3</f>
        <v>-0.14653913804444418</v>
      </c>
      <c r="AJ63" s="35">
        <f>AVERAGE(AJ61:AJ62)*'Fixed data'!$C$3</f>
        <v>-0.13845903742222199</v>
      </c>
      <c r="AK63" s="35">
        <f>AVERAGE(AK61:AK62)*'Fixed data'!$C$3</f>
        <v>-0.13037893679999976</v>
      </c>
      <c r="AL63" s="35">
        <f>AVERAGE(AL61:AL62)*'Fixed data'!$C$3</f>
        <v>-0.12229883617777755</v>
      </c>
      <c r="AM63" s="35">
        <f>AVERAGE(AM61:AM62)*'Fixed data'!$C$3</f>
        <v>-0.11421873555555533</v>
      </c>
      <c r="AN63" s="35">
        <f>AVERAGE(AN61:AN62)*'Fixed data'!$C$3</f>
        <v>-0.10613863493333313</v>
      </c>
      <c r="AO63" s="35">
        <f>AVERAGE(AO61:AO62)*'Fixed data'!$C$3</f>
        <v>-9.805853431111089E-2</v>
      </c>
      <c r="AP63" s="35">
        <f>AVERAGE(AP61:AP62)*'Fixed data'!$C$3</f>
        <v>-8.9978433688888693E-2</v>
      </c>
      <c r="AQ63" s="35">
        <f>AVERAGE(AQ61:AQ62)*'Fixed data'!$C$3</f>
        <v>-8.1898333066666468E-2</v>
      </c>
      <c r="AR63" s="35">
        <f>AVERAGE(AR61:AR62)*'Fixed data'!$C$3</f>
        <v>-7.3818232444444243E-2</v>
      </c>
      <c r="AS63" s="35">
        <f>AVERAGE(AS61:AS62)*'Fixed data'!$C$3</f>
        <v>-6.5738131822222018E-2</v>
      </c>
      <c r="AT63" s="35">
        <f>AVERAGE(AT61:AT62)*'Fixed data'!$C$3</f>
        <v>-5.76580311999998E-2</v>
      </c>
      <c r="AU63" s="35">
        <f>AVERAGE(AU61:AU62)*'Fixed data'!$C$3</f>
        <v>-4.9577930577777568E-2</v>
      </c>
      <c r="AV63" s="35">
        <f>AVERAGE(AV61:AV62)*'Fixed data'!$C$3</f>
        <v>-4.149782995555535E-2</v>
      </c>
      <c r="AW63" s="35">
        <f>AVERAGE(AW61:AW62)*'Fixed data'!$C$3</f>
        <v>-3.3417729333333125E-2</v>
      </c>
      <c r="AX63" s="35">
        <f>AVERAGE(AX61:AX62)*'Fixed data'!$C$3</f>
        <v>-2.5337628711110897E-2</v>
      </c>
      <c r="AY63" s="35">
        <f>AVERAGE(AY61:AY62)*'Fixed data'!$C$3</f>
        <v>-1.7877260177777562E-2</v>
      </c>
      <c r="AZ63" s="35">
        <f>AVERAGE(AZ61:AZ62)*'Fixed data'!$C$3</f>
        <v>-1.1670604711110897E-2</v>
      </c>
      <c r="BA63" s="35">
        <f>AVERAGE(BA61:BA62)*'Fixed data'!$C$3</f>
        <v>-6.7571111999997855E-3</v>
      </c>
      <c r="BB63" s="35">
        <f>AVERAGE(BB61:BB62)*'Fixed data'!$C$3</f>
        <v>-3.1783107999997862E-3</v>
      </c>
      <c r="BC63" s="35">
        <f>AVERAGE(BC61:BC62)*'Fixed data'!$C$3</f>
        <v>-8.6333333333311934E-4</v>
      </c>
      <c r="BD63" s="35">
        <f>AVERAGE(BD61:BD62)*'Fixed data'!$C$3</f>
        <v>2.1399548799649892E-16</v>
      </c>
    </row>
    <row r="64" spans="1:56" ht="15.75" thickBot="1" x14ac:dyDescent="0.35">
      <c r="A64" s="113"/>
      <c r="B64" s="12" t="s">
        <v>93</v>
      </c>
      <c r="C64" s="12" t="s">
        <v>44</v>
      </c>
      <c r="D64" s="12" t="s">
        <v>39</v>
      </c>
      <c r="E64" s="53">
        <f t="shared" ref="E64:BD64" si="8">E29+E60+E63</f>
        <v>-0.62548674400000015</v>
      </c>
      <c r="F64" s="53">
        <f t="shared" si="8"/>
        <v>-0.7260107043555557</v>
      </c>
      <c r="G64" s="53">
        <f t="shared" si="8"/>
        <v>-0.8383285960888891</v>
      </c>
      <c r="H64" s="53">
        <f t="shared" si="8"/>
        <v>-0.94393012786666664</v>
      </c>
      <c r="I64" s="53">
        <f t="shared" si="8"/>
        <v>-0.94598946631111125</v>
      </c>
      <c r="J64" s="53">
        <f t="shared" si="8"/>
        <v>-1.3001641691555554</v>
      </c>
      <c r="K64" s="53">
        <f t="shared" si="8"/>
        <v>-0.54246406853333329</v>
      </c>
      <c r="L64" s="53">
        <f t="shared" si="8"/>
        <v>-0.53438396791111109</v>
      </c>
      <c r="M64" s="53">
        <f t="shared" si="8"/>
        <v>-0.52630386728888878</v>
      </c>
      <c r="N64" s="53">
        <f t="shared" si="8"/>
        <v>-0.51822376666666659</v>
      </c>
      <c r="O64" s="53">
        <f t="shared" si="8"/>
        <v>-0.51014366604444428</v>
      </c>
      <c r="P64" s="53">
        <f t="shared" si="8"/>
        <v>-0.50206356542222208</v>
      </c>
      <c r="Q64" s="53">
        <f t="shared" si="8"/>
        <v>-0.49398346479999988</v>
      </c>
      <c r="R64" s="53">
        <f t="shared" si="8"/>
        <v>-0.48590336417777763</v>
      </c>
      <c r="S64" s="53">
        <f t="shared" si="8"/>
        <v>-0.47782326355555543</v>
      </c>
      <c r="T64" s="53">
        <f t="shared" si="8"/>
        <v>-0.46974316293333318</v>
      </c>
      <c r="U64" s="53">
        <f t="shared" si="8"/>
        <v>-0.46166306231111093</v>
      </c>
      <c r="V64" s="53">
        <f t="shared" si="8"/>
        <v>-0.45358296168888873</v>
      </c>
      <c r="W64" s="53">
        <f t="shared" si="8"/>
        <v>-0.44550286106666648</v>
      </c>
      <c r="X64" s="53">
        <f t="shared" si="8"/>
        <v>-0.43742276044444428</v>
      </c>
      <c r="Y64" s="53">
        <f t="shared" si="8"/>
        <v>-0.42934265982222203</v>
      </c>
      <c r="Z64" s="53">
        <f t="shared" si="8"/>
        <v>-0.42126255919999978</v>
      </c>
      <c r="AA64" s="53">
        <f t="shared" si="8"/>
        <v>-0.41318245857777758</v>
      </c>
      <c r="AB64" s="53">
        <f t="shared" si="8"/>
        <v>-0.40510235795555533</v>
      </c>
      <c r="AC64" s="53">
        <f t="shared" si="8"/>
        <v>-0.39702225733333307</v>
      </c>
      <c r="AD64" s="53">
        <f t="shared" si="8"/>
        <v>-0.38894215671111088</v>
      </c>
      <c r="AE64" s="53">
        <f t="shared" si="8"/>
        <v>-0.38086205608888862</v>
      </c>
      <c r="AF64" s="53">
        <f t="shared" si="8"/>
        <v>-0.37278195546666637</v>
      </c>
      <c r="AG64" s="53">
        <f t="shared" si="8"/>
        <v>-0.36470185484444417</v>
      </c>
      <c r="AH64" s="53">
        <f t="shared" si="8"/>
        <v>-0.35662175422222198</v>
      </c>
      <c r="AI64" s="53">
        <f t="shared" si="8"/>
        <v>-0.34854165359999972</v>
      </c>
      <c r="AJ64" s="53">
        <f t="shared" si="8"/>
        <v>-0.34046155297777753</v>
      </c>
      <c r="AK64" s="53">
        <f t="shared" si="8"/>
        <v>-0.33238145235555527</v>
      </c>
      <c r="AL64" s="53">
        <f t="shared" si="8"/>
        <v>-0.32430135173333308</v>
      </c>
      <c r="AM64" s="53">
        <f t="shared" si="8"/>
        <v>-0.31622125111111088</v>
      </c>
      <c r="AN64" s="53">
        <f t="shared" si="8"/>
        <v>-0.30814115048888868</v>
      </c>
      <c r="AO64" s="53">
        <f t="shared" si="8"/>
        <v>-0.30006104986666643</v>
      </c>
      <c r="AP64" s="53">
        <f t="shared" si="8"/>
        <v>-0.29198094924444423</v>
      </c>
      <c r="AQ64" s="53">
        <f t="shared" si="8"/>
        <v>-0.28390084862222198</v>
      </c>
      <c r="AR64" s="53">
        <f t="shared" si="8"/>
        <v>-0.27582074799999978</v>
      </c>
      <c r="AS64" s="53">
        <f t="shared" si="8"/>
        <v>-0.26774064737777759</v>
      </c>
      <c r="AT64" s="53">
        <f t="shared" si="8"/>
        <v>-0.25966054675555533</v>
      </c>
      <c r="AU64" s="53">
        <f t="shared" si="8"/>
        <v>-0.25158044613333308</v>
      </c>
      <c r="AV64" s="53">
        <f t="shared" si="8"/>
        <v>-0.24350034551111088</v>
      </c>
      <c r="AW64" s="53">
        <f t="shared" si="8"/>
        <v>-0.23542024488888866</v>
      </c>
      <c r="AX64" s="53">
        <f t="shared" si="8"/>
        <v>-0.22734014426666643</v>
      </c>
      <c r="AY64" s="53">
        <f t="shared" si="8"/>
        <v>-0.18889317128888866</v>
      </c>
      <c r="AZ64" s="53">
        <f t="shared" si="8"/>
        <v>-0.15098746693333309</v>
      </c>
      <c r="BA64" s="53">
        <f t="shared" si="8"/>
        <v>-0.11311492453333312</v>
      </c>
      <c r="BB64" s="53">
        <f t="shared" si="8"/>
        <v>-7.5760517466666455E-2</v>
      </c>
      <c r="BC64" s="53">
        <f t="shared" si="8"/>
        <v>-4.4029999999999785E-2</v>
      </c>
      <c r="BD64" s="53">
        <f t="shared" si="8"/>
        <v>2.1399548799649892E-16</v>
      </c>
    </row>
    <row r="65" spans="1:56" ht="12.75" customHeight="1" x14ac:dyDescent="0.3">
      <c r="A65" s="226" t="s">
        <v>228</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227"/>
      <c r="B66" s="9" t="s">
        <v>200</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227"/>
      <c r="B67" s="9" t="s">
        <v>296</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227"/>
      <c r="B68" s="9" t="s">
        <v>297</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227"/>
      <c r="B69" s="4" t="s">
        <v>201</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227"/>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227"/>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227"/>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227"/>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227"/>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227"/>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228"/>
      <c r="B76" s="13" t="s">
        <v>99</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-0.62548674400000015</v>
      </c>
      <c r="F77" s="54">
        <f>IF('Fixed data'!$G$19=FALSE,F64+F76,F64)</f>
        <v>-0.7260107043555557</v>
      </c>
      <c r="G77" s="54">
        <f>IF('Fixed data'!$G$19=FALSE,G64+G76,G64)</f>
        <v>-0.8383285960888891</v>
      </c>
      <c r="H77" s="54">
        <f>IF('Fixed data'!$G$19=FALSE,H64+H76,H64)</f>
        <v>-0.94393012786666664</v>
      </c>
      <c r="I77" s="54">
        <f>IF('Fixed data'!$G$19=FALSE,I64+I76,I64)</f>
        <v>-0.94598946631111125</v>
      </c>
      <c r="J77" s="54">
        <f>IF('Fixed data'!$G$19=FALSE,J64+J76,J64)</f>
        <v>-1.3001641691555554</v>
      </c>
      <c r="K77" s="54">
        <f>IF('Fixed data'!$G$19=FALSE,K64+K76,K64)</f>
        <v>-0.54246406853333329</v>
      </c>
      <c r="L77" s="54">
        <f>IF('Fixed data'!$G$19=FALSE,L64+L76,L64)</f>
        <v>-0.53438396791111109</v>
      </c>
      <c r="M77" s="54">
        <f>IF('Fixed data'!$G$19=FALSE,M64+M76,M64)</f>
        <v>-0.52630386728888878</v>
      </c>
      <c r="N77" s="54">
        <f>IF('Fixed data'!$G$19=FALSE,N64+N76,N64)</f>
        <v>-0.51822376666666659</v>
      </c>
      <c r="O77" s="54">
        <f>IF('Fixed data'!$G$19=FALSE,O64+O76,O64)</f>
        <v>-0.51014366604444428</v>
      </c>
      <c r="P77" s="54">
        <f>IF('Fixed data'!$G$19=FALSE,P64+P76,P64)</f>
        <v>-0.50206356542222208</v>
      </c>
      <c r="Q77" s="54">
        <f>IF('Fixed data'!$G$19=FALSE,Q64+Q76,Q64)</f>
        <v>-0.49398346479999988</v>
      </c>
      <c r="R77" s="54">
        <f>IF('Fixed data'!$G$19=FALSE,R64+R76,R64)</f>
        <v>-0.48590336417777763</v>
      </c>
      <c r="S77" s="54">
        <f>IF('Fixed data'!$G$19=FALSE,S64+S76,S64)</f>
        <v>-0.47782326355555543</v>
      </c>
      <c r="T77" s="54">
        <f>IF('Fixed data'!$G$19=FALSE,T64+T76,T64)</f>
        <v>-0.46974316293333318</v>
      </c>
      <c r="U77" s="54">
        <f>IF('Fixed data'!$G$19=FALSE,U64+U76,U64)</f>
        <v>-0.46166306231111093</v>
      </c>
      <c r="V77" s="54">
        <f>IF('Fixed data'!$G$19=FALSE,V64+V76,V64)</f>
        <v>-0.45358296168888873</v>
      </c>
      <c r="W77" s="54">
        <f>IF('Fixed data'!$G$19=FALSE,W64+W76,W64)</f>
        <v>-0.44550286106666648</v>
      </c>
      <c r="X77" s="54">
        <f>IF('Fixed data'!$G$19=FALSE,X64+X76,X64)</f>
        <v>-0.43742276044444428</v>
      </c>
      <c r="Y77" s="54">
        <f>IF('Fixed data'!$G$19=FALSE,Y64+Y76,Y64)</f>
        <v>-0.42934265982222203</v>
      </c>
      <c r="Z77" s="54">
        <f>IF('Fixed data'!$G$19=FALSE,Z64+Z76,Z64)</f>
        <v>-0.42126255919999978</v>
      </c>
      <c r="AA77" s="54">
        <f>IF('Fixed data'!$G$19=FALSE,AA64+AA76,AA64)</f>
        <v>-0.41318245857777758</v>
      </c>
      <c r="AB77" s="54">
        <f>IF('Fixed data'!$G$19=FALSE,AB64+AB76,AB64)</f>
        <v>-0.40510235795555533</v>
      </c>
      <c r="AC77" s="54">
        <f>IF('Fixed data'!$G$19=FALSE,AC64+AC76,AC64)</f>
        <v>-0.39702225733333307</v>
      </c>
      <c r="AD77" s="54">
        <f>IF('Fixed data'!$G$19=FALSE,AD64+AD76,AD64)</f>
        <v>-0.38894215671111088</v>
      </c>
      <c r="AE77" s="54">
        <f>IF('Fixed data'!$G$19=FALSE,AE64+AE76,AE64)</f>
        <v>-0.38086205608888862</v>
      </c>
      <c r="AF77" s="54">
        <f>IF('Fixed data'!$G$19=FALSE,AF64+AF76,AF64)</f>
        <v>-0.37278195546666637</v>
      </c>
      <c r="AG77" s="54">
        <f>IF('Fixed data'!$G$19=FALSE,AG64+AG76,AG64)</f>
        <v>-0.36470185484444417</v>
      </c>
      <c r="AH77" s="54">
        <f>IF('Fixed data'!$G$19=FALSE,AH64+AH76,AH64)</f>
        <v>-0.35662175422222198</v>
      </c>
      <c r="AI77" s="54">
        <f>IF('Fixed data'!$G$19=FALSE,AI64+AI76,AI64)</f>
        <v>-0.34854165359999972</v>
      </c>
      <c r="AJ77" s="54">
        <f>IF('Fixed data'!$G$19=FALSE,AJ64+AJ76,AJ64)</f>
        <v>-0.34046155297777753</v>
      </c>
      <c r="AK77" s="54">
        <f>IF('Fixed data'!$G$19=FALSE,AK64+AK76,AK64)</f>
        <v>-0.33238145235555527</v>
      </c>
      <c r="AL77" s="54">
        <f>IF('Fixed data'!$G$19=FALSE,AL64+AL76,AL64)</f>
        <v>-0.32430135173333308</v>
      </c>
      <c r="AM77" s="54">
        <f>IF('Fixed data'!$G$19=FALSE,AM64+AM76,AM64)</f>
        <v>-0.31622125111111088</v>
      </c>
      <c r="AN77" s="54">
        <f>IF('Fixed data'!$G$19=FALSE,AN64+AN76,AN64)</f>
        <v>-0.30814115048888868</v>
      </c>
      <c r="AO77" s="54">
        <f>IF('Fixed data'!$G$19=FALSE,AO64+AO76,AO64)</f>
        <v>-0.30006104986666643</v>
      </c>
      <c r="AP77" s="54">
        <f>IF('Fixed data'!$G$19=FALSE,AP64+AP76,AP64)</f>
        <v>-0.29198094924444423</v>
      </c>
      <c r="AQ77" s="54">
        <f>IF('Fixed data'!$G$19=FALSE,AQ64+AQ76,AQ64)</f>
        <v>-0.28390084862222198</v>
      </c>
      <c r="AR77" s="54">
        <f>IF('Fixed data'!$G$19=FALSE,AR64+AR76,AR64)</f>
        <v>-0.27582074799999978</v>
      </c>
      <c r="AS77" s="54">
        <f>IF('Fixed data'!$G$19=FALSE,AS64+AS76,AS64)</f>
        <v>-0.26774064737777759</v>
      </c>
      <c r="AT77" s="54">
        <f>IF('Fixed data'!$G$19=FALSE,AT64+AT76,AT64)</f>
        <v>-0.25966054675555533</v>
      </c>
      <c r="AU77" s="54">
        <f>IF('Fixed data'!$G$19=FALSE,AU64+AU76,AU64)</f>
        <v>-0.25158044613333308</v>
      </c>
      <c r="AV77" s="54">
        <f>IF('Fixed data'!$G$19=FALSE,AV64+AV76,AV64)</f>
        <v>-0.24350034551111088</v>
      </c>
      <c r="AW77" s="54">
        <f>IF('Fixed data'!$G$19=FALSE,AW64+AW76,AW64)</f>
        <v>-0.23542024488888866</v>
      </c>
      <c r="AX77" s="54">
        <f>IF('Fixed data'!$G$19=FALSE,AX64+AX76,AX64)</f>
        <v>-0.22734014426666643</v>
      </c>
      <c r="AY77" s="54">
        <f>IF('Fixed data'!$G$19=FALSE,AY64+AY76,AY64)</f>
        <v>-0.18889317128888866</v>
      </c>
      <c r="AZ77" s="54">
        <f>IF('Fixed data'!$G$19=FALSE,AZ64+AZ76,AZ64)</f>
        <v>-0.15098746693333309</v>
      </c>
      <c r="BA77" s="54">
        <f>IF('Fixed data'!$G$19=FALSE,BA64+BA76,BA64)</f>
        <v>-0.11311492453333312</v>
      </c>
      <c r="BB77" s="54">
        <f>IF('Fixed data'!$G$19=FALSE,BB64+BB76,BB64)</f>
        <v>-7.5760517466666455E-2</v>
      </c>
      <c r="BC77" s="54">
        <f>IF('Fixed data'!$G$19=FALSE,BC64+BC76,BC64)</f>
        <v>-4.4029999999999785E-2</v>
      </c>
      <c r="BD77" s="54">
        <f>IF('Fixed data'!$G$19=FALSE,BD64+BD76,BD64)</f>
        <v>2.1399548799649892E-16</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-0.60433501835748815</v>
      </c>
      <c r="F80" s="55">
        <f t="shared" ref="F80:BD80" si="10">F77*F78</f>
        <v>-0.67773876109646036</v>
      </c>
      <c r="G80" s="55">
        <f t="shared" si="10"/>
        <v>-0.75612436219528734</v>
      </c>
      <c r="H80" s="55">
        <f t="shared" si="10"/>
        <v>-0.8225805734199263</v>
      </c>
      <c r="I80" s="55">
        <f t="shared" si="10"/>
        <v>-0.79649774676477147</v>
      </c>
      <c r="J80" s="55">
        <f t="shared" si="10"/>
        <v>-1.0576843893138985</v>
      </c>
      <c r="K80" s="55">
        <f t="shared" si="10"/>
        <v>-0.42637185436296771</v>
      </c>
      <c r="L80" s="55">
        <f t="shared" si="10"/>
        <v>-0.40581736068839175</v>
      </c>
      <c r="M80" s="55">
        <f t="shared" si="10"/>
        <v>-0.38616544821303</v>
      </c>
      <c r="N80" s="55">
        <f t="shared" si="10"/>
        <v>-0.36737857790154305</v>
      </c>
      <c r="O80" s="55">
        <f t="shared" si="10"/>
        <v>-0.3494207174432673</v>
      </c>
      <c r="P80" s="55">
        <f t="shared" si="10"/>
        <v>-0.332257282275918</v>
      </c>
      <c r="Q80" s="55">
        <f t="shared" si="10"/>
        <v>-0.31585507887501046</v>
      </c>
      <c r="R80" s="55">
        <f t="shared" si="10"/>
        <v>-0.30018225022320572</v>
      </c>
      <c r="S80" s="55">
        <f t="shared" si="10"/>
        <v>-0.28520822337699869</v>
      </c>
      <c r="T80" s="55">
        <f t="shared" si="10"/>
        <v>-0.27090365905125585</v>
      </c>
      <c r="U80" s="55">
        <f t="shared" si="10"/>
        <v>-0.25724040314509178</v>
      </c>
      <c r="V80" s="55">
        <f t="shared" si="10"/>
        <v>-0.24419144013543759</v>
      </c>
      <c r="W80" s="55">
        <f t="shared" si="10"/>
        <v>-0.23173084826741724</v>
      </c>
      <c r="X80" s="55">
        <f t="shared" si="10"/>
        <v>-0.21983375647330491</v>
      </c>
      <c r="Y80" s="55">
        <f t="shared" si="10"/>
        <v>-0.20847630295439706</v>
      </c>
      <c r="Z80" s="55">
        <f t="shared" si="10"/>
        <v>-0.19763559536259603</v>
      </c>
      <c r="AA80" s="55">
        <f t="shared" si="10"/>
        <v>-0.18728967252087728</v>
      </c>
      <c r="AB80" s="55">
        <f t="shared" si="10"/>
        <v>-0.17741746762409386</v>
      </c>
      <c r="AC80" s="55">
        <f t="shared" si="10"/>
        <v>-0.16799877286377463</v>
      </c>
      <c r="AD80" s="55">
        <f t="shared" si="10"/>
        <v>-0.15901420542268865</v>
      </c>
      <c r="AE80" s="55">
        <f t="shared" si="10"/>
        <v>-0.15044517478698763</v>
      </c>
      <c r="AF80" s="55">
        <f t="shared" si="10"/>
        <v>-0.14227385132570261</v>
      </c>
      <c r="AG80" s="55">
        <f t="shared" si="10"/>
        <v>-0.13448313608925933</v>
      </c>
      <c r="AH80" s="55">
        <f t="shared" si="10"/>
        <v>-0.12705663178049817</v>
      </c>
      <c r="AI80" s="55">
        <f t="shared" si="10"/>
        <v>-0.13941218099318406</v>
      </c>
      <c r="AJ80" s="55">
        <f t="shared" si="10"/>
        <v>-0.13221382972105555</v>
      </c>
      <c r="AK80" s="55">
        <f t="shared" si="10"/>
        <v>-0.12531653146591601</v>
      </c>
      <c r="AL80" s="55">
        <f t="shared" si="10"/>
        <v>-0.11870885578163022</v>
      </c>
      <c r="AM80" s="55">
        <f t="shared" si="10"/>
        <v>-0.11237978267908587</v>
      </c>
      <c r="AN80" s="55">
        <f t="shared" si="10"/>
        <v>-0.10631868841293872</v>
      </c>
      <c r="AO80" s="55">
        <f t="shared" si="10"/>
        <v>-0.1005153317481081</v>
      </c>
      <c r="AP80" s="55">
        <f t="shared" si="10"/>
        <v>-9.4959840690134786E-2</v>
      </c>
      <c r="AQ80" s="55">
        <f t="shared" si="10"/>
        <v>-8.9642699664030059E-2</v>
      </c>
      <c r="AR80" s="55">
        <f t="shared" si="10"/>
        <v>-8.4554737126748242E-2</v>
      </c>
      <c r="AS80" s="55">
        <f t="shared" si="10"/>
        <v>-7.9687113598898379E-2</v>
      </c>
      <c r="AT80" s="55">
        <f t="shared" si="10"/>
        <v>-7.5031310101783766E-2</v>
      </c>
      <c r="AU80" s="55">
        <f t="shared" si="10"/>
        <v>-7.057911698630992E-2</v>
      </c>
      <c r="AV80" s="55">
        <f t="shared" si="10"/>
        <v>-6.6322623140743414E-2</v>
      </c>
      <c r="AW80" s="55">
        <f t="shared" si="10"/>
        <v>-6.2254205564729465E-2</v>
      </c>
      <c r="AX80" s="55">
        <f t="shared" si="10"/>
        <v>-5.8366519297388335E-2</v>
      </c>
      <c r="AY80" s="55">
        <f t="shared" si="10"/>
        <v>-4.7083278588136344E-2</v>
      </c>
      <c r="AZ80" s="55">
        <f t="shared" si="10"/>
        <v>-3.6538785956185836E-2</v>
      </c>
      <c r="BA80" s="55">
        <f t="shared" si="10"/>
        <v>-2.6576384569415128E-2</v>
      </c>
      <c r="BB80" s="55">
        <f t="shared" si="10"/>
        <v>-1.7281510402681936E-2</v>
      </c>
      <c r="BC80" s="55">
        <f t="shared" si="10"/>
        <v>-9.7510240030512802E-3</v>
      </c>
      <c r="BD80" s="55">
        <f t="shared" si="10"/>
        <v>4.601176911590604E-17</v>
      </c>
    </row>
    <row r="81" spans="1:56" x14ac:dyDescent="0.3">
      <c r="A81" s="75"/>
      <c r="B81" s="15" t="s">
        <v>18</v>
      </c>
      <c r="C81" s="15"/>
      <c r="D81" s="14" t="s">
        <v>39</v>
      </c>
      <c r="E81" s="56">
        <f>+E80</f>
        <v>-0.60433501835748815</v>
      </c>
      <c r="F81" s="56">
        <f t="shared" ref="F81:BD81" si="11">+E81+F80</f>
        <v>-1.2820737794539485</v>
      </c>
      <c r="G81" s="56">
        <f t="shared" si="11"/>
        <v>-2.0381981416492359</v>
      </c>
      <c r="H81" s="56">
        <f t="shared" si="11"/>
        <v>-2.8607787150691619</v>
      </c>
      <c r="I81" s="56">
        <f t="shared" si="11"/>
        <v>-3.6572764618339333</v>
      </c>
      <c r="J81" s="56">
        <f t="shared" si="11"/>
        <v>-4.7149608511478318</v>
      </c>
      <c r="K81" s="56">
        <f t="shared" si="11"/>
        <v>-5.1413327055107994</v>
      </c>
      <c r="L81" s="56">
        <f t="shared" si="11"/>
        <v>-5.5471500661991913</v>
      </c>
      <c r="M81" s="56">
        <f t="shared" si="11"/>
        <v>-5.9333155144122216</v>
      </c>
      <c r="N81" s="56">
        <f t="shared" si="11"/>
        <v>-6.3006940923137646</v>
      </c>
      <c r="O81" s="56">
        <f t="shared" si="11"/>
        <v>-6.6501148097570315</v>
      </c>
      <c r="P81" s="56">
        <f t="shared" si="11"/>
        <v>-6.98237209203295</v>
      </c>
      <c r="Q81" s="56">
        <f t="shared" si="11"/>
        <v>-7.2982271709079605</v>
      </c>
      <c r="R81" s="56">
        <f t="shared" si="11"/>
        <v>-7.5984094211311666</v>
      </c>
      <c r="S81" s="56">
        <f t="shared" si="11"/>
        <v>-7.8836176445081652</v>
      </c>
      <c r="T81" s="56">
        <f t="shared" si="11"/>
        <v>-8.1545213035594202</v>
      </c>
      <c r="U81" s="56">
        <f t="shared" si="11"/>
        <v>-8.4117617067045121</v>
      </c>
      <c r="V81" s="56">
        <f t="shared" si="11"/>
        <v>-8.6559531468399502</v>
      </c>
      <c r="W81" s="56">
        <f t="shared" si="11"/>
        <v>-8.8876839951073681</v>
      </c>
      <c r="X81" s="56">
        <f t="shared" si="11"/>
        <v>-9.1075177515806729</v>
      </c>
      <c r="Y81" s="56">
        <f t="shared" si="11"/>
        <v>-9.3159940545350697</v>
      </c>
      <c r="Z81" s="56">
        <f t="shared" si="11"/>
        <v>-9.5136296498976662</v>
      </c>
      <c r="AA81" s="56">
        <f t="shared" si="11"/>
        <v>-9.7009193224185442</v>
      </c>
      <c r="AB81" s="56">
        <f t="shared" si="11"/>
        <v>-9.8783367900426384</v>
      </c>
      <c r="AC81" s="56">
        <f t="shared" si="11"/>
        <v>-10.046335562906414</v>
      </c>
      <c r="AD81" s="56">
        <f t="shared" si="11"/>
        <v>-10.205349768329103</v>
      </c>
      <c r="AE81" s="56">
        <f t="shared" si="11"/>
        <v>-10.355794943116091</v>
      </c>
      <c r="AF81" s="56">
        <f t="shared" si="11"/>
        <v>-10.498068794441794</v>
      </c>
      <c r="AG81" s="56">
        <f t="shared" si="11"/>
        <v>-10.632551930531054</v>
      </c>
      <c r="AH81" s="56">
        <f t="shared" si="11"/>
        <v>-10.759608562311552</v>
      </c>
      <c r="AI81" s="56">
        <f t="shared" si="11"/>
        <v>-10.899020743304735</v>
      </c>
      <c r="AJ81" s="56">
        <f t="shared" si="11"/>
        <v>-11.031234573025792</v>
      </c>
      <c r="AK81" s="56">
        <f t="shared" si="11"/>
        <v>-11.156551104491708</v>
      </c>
      <c r="AL81" s="56">
        <f t="shared" si="11"/>
        <v>-11.275259960273338</v>
      </c>
      <c r="AM81" s="56">
        <f t="shared" si="11"/>
        <v>-11.387639742952425</v>
      </c>
      <c r="AN81" s="56">
        <f t="shared" si="11"/>
        <v>-11.493958431365364</v>
      </c>
      <c r="AO81" s="56">
        <f t="shared" si="11"/>
        <v>-11.594473763113472</v>
      </c>
      <c r="AP81" s="56">
        <f t="shared" si="11"/>
        <v>-11.689433603803607</v>
      </c>
      <c r="AQ81" s="56">
        <f t="shared" si="11"/>
        <v>-11.779076303467637</v>
      </c>
      <c r="AR81" s="56">
        <f t="shared" si="11"/>
        <v>-11.863631040594385</v>
      </c>
      <c r="AS81" s="56">
        <f t="shared" si="11"/>
        <v>-11.943318154193284</v>
      </c>
      <c r="AT81" s="56">
        <f t="shared" si="11"/>
        <v>-12.018349464295067</v>
      </c>
      <c r="AU81" s="56">
        <f t="shared" si="11"/>
        <v>-12.088928581281376</v>
      </c>
      <c r="AV81" s="56">
        <f t="shared" si="11"/>
        <v>-12.15525120442212</v>
      </c>
      <c r="AW81" s="56">
        <f t="shared" si="11"/>
        <v>-12.217505409986849</v>
      </c>
      <c r="AX81" s="56">
        <f t="shared" si="11"/>
        <v>-12.275871929284238</v>
      </c>
      <c r="AY81" s="56">
        <f t="shared" si="11"/>
        <v>-12.322955207872374</v>
      </c>
      <c r="AZ81" s="56">
        <f t="shared" si="11"/>
        <v>-12.35949399382856</v>
      </c>
      <c r="BA81" s="56">
        <f t="shared" si="11"/>
        <v>-12.386070378397974</v>
      </c>
      <c r="BB81" s="56">
        <f t="shared" si="11"/>
        <v>-12.403351888800657</v>
      </c>
      <c r="BC81" s="56">
        <f t="shared" si="11"/>
        <v>-12.413102912803708</v>
      </c>
      <c r="BD81" s="56">
        <f t="shared" si="11"/>
        <v>-12.413102912803708</v>
      </c>
    </row>
    <row r="82" spans="1:56" x14ac:dyDescent="0.3">
      <c r="A82" s="75"/>
      <c r="B82" s="14"/>
    </row>
    <row r="83" spans="1:56" x14ac:dyDescent="0.3">
      <c r="A83" s="75"/>
      <c r="E83" s="5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229" t="s">
        <v>298</v>
      </c>
      <c r="B86" s="4" t="s">
        <v>210</v>
      </c>
      <c r="D86" s="4" t="s">
        <v>86</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229"/>
      <c r="B87" s="4" t="s">
        <v>211</v>
      </c>
      <c r="D87" s="4" t="s">
        <v>88</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229"/>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229"/>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229"/>
      <c r="B90" s="4" t="s">
        <v>326</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229"/>
      <c r="B91" s="4" t="s">
        <v>327</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229"/>
      <c r="B92" s="4" t="s">
        <v>328</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229"/>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153</v>
      </c>
    </row>
    <row r="98" spans="1:3" x14ac:dyDescent="0.3">
      <c r="B98" s="4" t="s">
        <v>313</v>
      </c>
    </row>
    <row r="99" spans="1:3" x14ac:dyDescent="0.3">
      <c r="B99" s="4" t="s">
        <v>330</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314</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count="2">
    <dataValidation type="list" allowBlank="1" showInputMessage="1" showErrorMessage="1" sqref="B13:B14" xr:uid="{00000000-0002-0000-0600-000000000000}">
      <formula1>$B$170:$B$214</formula1>
    </dataValidation>
    <dataValidation type="list" allowBlank="1" showInputMessage="1" showErrorMessage="1" sqref="B15:B24" xr:uid="{00000000-0002-0000-0600-000001000000}">
      <formula1>$B$170:$B$216</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K24"/>
  <sheetViews>
    <sheetView workbookViewId="0">
      <selection activeCell="I19" sqref="I19"/>
    </sheetView>
  </sheetViews>
  <sheetFormatPr defaultRowHeight="15" x14ac:dyDescent="0.25"/>
  <cols>
    <col min="1" max="1" width="5.85546875" customWidth="1"/>
    <col min="2" max="2" width="54" customWidth="1"/>
    <col min="3" max="3" width="15" customWidth="1"/>
    <col min="6" max="6" width="12.7109375" bestFit="1" customWidth="1"/>
    <col min="7" max="7" width="13.85546875" bestFit="1" customWidth="1"/>
    <col min="8" max="8" width="12.5703125" bestFit="1" customWidth="1"/>
    <col min="9" max="11" width="12.7109375" bestFit="1" customWidth="1"/>
  </cols>
  <sheetData>
    <row r="1" spans="1:11" ht="18.75" x14ac:dyDescent="0.3">
      <c r="A1" s="1" t="s">
        <v>80</v>
      </c>
    </row>
    <row r="2" spans="1:11" ht="21" x14ac:dyDescent="0.35">
      <c r="A2" t="s">
        <v>335</v>
      </c>
    </row>
    <row r="3" spans="1:11" x14ac:dyDescent="0.25">
      <c r="F3" s="145"/>
      <c r="G3" s="145"/>
    </row>
    <row r="5" spans="1:11" x14ac:dyDescent="0.25">
      <c r="B5" t="s">
        <v>349</v>
      </c>
    </row>
    <row r="6" spans="1:11" x14ac:dyDescent="0.25">
      <c r="G6" s="146"/>
    </row>
    <row r="7" spans="1:11" ht="15.75" thickBot="1" x14ac:dyDescent="0.3">
      <c r="B7" s="129" t="s">
        <v>354</v>
      </c>
      <c r="C7" s="129"/>
      <c r="D7" s="129" t="s">
        <v>361</v>
      </c>
      <c r="E7" s="129" t="s">
        <v>362</v>
      </c>
      <c r="F7" s="158" t="s">
        <v>363</v>
      </c>
      <c r="G7" s="129" t="s">
        <v>376</v>
      </c>
      <c r="H7" s="158" t="s">
        <v>378</v>
      </c>
      <c r="I7" s="158" t="s">
        <v>381</v>
      </c>
    </row>
    <row r="8" spans="1:11" x14ac:dyDescent="0.25">
      <c r="B8" s="147" t="s">
        <v>356</v>
      </c>
      <c r="C8" s="169">
        <v>1899996</v>
      </c>
      <c r="D8" s="155">
        <f>C8/1000000</f>
        <v>1.899996</v>
      </c>
      <c r="E8" s="155">
        <f>D8</f>
        <v>1.899996</v>
      </c>
      <c r="F8" s="155">
        <f>D8</f>
        <v>1.899996</v>
      </c>
      <c r="G8" s="177">
        <f>1900002/1000000</f>
        <v>1.900002</v>
      </c>
      <c r="H8" s="155">
        <f>1890999/1000000</f>
        <v>1.8909990000000001</v>
      </c>
      <c r="I8" s="179">
        <f>2500000/1000000</f>
        <v>2.5</v>
      </c>
    </row>
    <row r="9" spans="1:11" x14ac:dyDescent="0.25">
      <c r="B9" s="151" t="s">
        <v>359</v>
      </c>
      <c r="C9" s="168">
        <v>92000</v>
      </c>
      <c r="D9" s="150">
        <f>C9/1000000</f>
        <v>9.1999999999999998E-2</v>
      </c>
      <c r="E9" s="171">
        <v>0.13780000000000001</v>
      </c>
      <c r="F9" s="171">
        <v>0.21879999999999999</v>
      </c>
      <c r="G9" s="176">
        <f>271287/1000000</f>
        <v>0.271287</v>
      </c>
      <c r="H9" s="187">
        <v>0</v>
      </c>
      <c r="I9" s="178">
        <v>0.27500000000000002</v>
      </c>
    </row>
    <row r="10" spans="1:11" ht="15.75" thickBot="1" x14ac:dyDescent="0.3">
      <c r="B10" s="152" t="s">
        <v>360</v>
      </c>
      <c r="C10" s="170">
        <f>C8+C9</f>
        <v>1991996</v>
      </c>
      <c r="D10" s="153">
        <f>C10/1000000</f>
        <v>1.9919960000000001</v>
      </c>
      <c r="E10" s="157">
        <f>SUM(E8:E9)</f>
        <v>2.0377960000000002</v>
      </c>
      <c r="F10" s="157">
        <f>SUM(F8:F9)</f>
        <v>2.1187960000000001</v>
      </c>
      <c r="G10" s="157">
        <f>SUM(G8:G9)</f>
        <v>2.1712889999999998</v>
      </c>
      <c r="H10" s="157">
        <f>SUM(H8:H9)</f>
        <v>1.8909990000000001</v>
      </c>
      <c r="I10" s="154">
        <f>SUM(I8:I9)</f>
        <v>2.7749999999999999</v>
      </c>
    </row>
    <row r="11" spans="1:11" x14ac:dyDescent="0.25">
      <c r="B11" s="149"/>
      <c r="H11" s="181"/>
    </row>
    <row r="12" spans="1:11" x14ac:dyDescent="0.25">
      <c r="C12" s="180" t="s">
        <v>379</v>
      </c>
      <c r="D12" s="167">
        <f>'Baseline Workings'!C40-'Option 2 Workings'!D10</f>
        <v>0.8252241299994687</v>
      </c>
      <c r="E12" s="167">
        <f>'Baseline Workings'!D40-'Option 2 Workings'!E10</f>
        <v>1.4500163433326283</v>
      </c>
      <c r="F12" s="167">
        <f>'Baseline Workings'!E40-'Option 2 Workings'!F10</f>
        <v>2.0002925433349961</v>
      </c>
      <c r="G12" s="167">
        <f>'Baseline Workings'!F40-'Option 2 Workings'!G10</f>
        <v>1.5902261766658081</v>
      </c>
      <c r="H12" s="167">
        <f>'Baseline Workings'!G40-'Option 2 Workings'!H10</f>
        <v>2.2771318851515181</v>
      </c>
      <c r="I12" s="167">
        <f>'Baseline Workings'!H40-'Option 2 Workings'!I10</f>
        <v>1.9001478240561078</v>
      </c>
      <c r="J12" s="145"/>
      <c r="K12" s="145"/>
    </row>
    <row r="13" spans="1:11" x14ac:dyDescent="0.25">
      <c r="D13" s="167"/>
      <c r="E13" s="167"/>
      <c r="F13" s="167"/>
    </row>
    <row r="14" spans="1:11" ht="15.75" thickBot="1" x14ac:dyDescent="0.3">
      <c r="B14" t="s">
        <v>355</v>
      </c>
      <c r="H14" s="183"/>
    </row>
    <row r="15" spans="1:11" x14ac:dyDescent="0.25">
      <c r="B15" s="230" t="s">
        <v>375</v>
      </c>
      <c r="C15" s="231"/>
      <c r="D15" s="232"/>
      <c r="I15" s="167"/>
    </row>
    <row r="16" spans="1:11" x14ac:dyDescent="0.25">
      <c r="B16" s="233"/>
      <c r="C16" s="234"/>
      <c r="D16" s="235"/>
    </row>
    <row r="17" spans="2:4" x14ac:dyDescent="0.25">
      <c r="B17" s="233"/>
      <c r="C17" s="234"/>
      <c r="D17" s="235"/>
    </row>
    <row r="18" spans="2:4" x14ac:dyDescent="0.25">
      <c r="B18" s="233"/>
      <c r="C18" s="234"/>
      <c r="D18" s="235"/>
    </row>
    <row r="19" spans="2:4" x14ac:dyDescent="0.25">
      <c r="B19" s="233"/>
      <c r="C19" s="234"/>
      <c r="D19" s="235"/>
    </row>
    <row r="20" spans="2:4" x14ac:dyDescent="0.25">
      <c r="B20" s="233"/>
      <c r="C20" s="234"/>
      <c r="D20" s="235"/>
    </row>
    <row r="21" spans="2:4" x14ac:dyDescent="0.25">
      <c r="B21" s="233"/>
      <c r="C21" s="234"/>
      <c r="D21" s="235"/>
    </row>
    <row r="22" spans="2:4" x14ac:dyDescent="0.25">
      <c r="B22" s="233"/>
      <c r="C22" s="234"/>
      <c r="D22" s="235"/>
    </row>
    <row r="23" spans="2:4" x14ac:dyDescent="0.25">
      <c r="B23" s="233"/>
      <c r="C23" s="234"/>
      <c r="D23" s="235"/>
    </row>
    <row r="24" spans="2:4" ht="15.75" thickBot="1" x14ac:dyDescent="0.3">
      <c r="B24" s="236"/>
      <c r="C24" s="237"/>
      <c r="D24" s="238"/>
    </row>
  </sheetData>
  <mergeCells count="1">
    <mergeCell ref="B15:D24"/>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1C94AB13165D954F9B02BC5236DDE171" ma:contentTypeVersion="11" ma:contentTypeDescription="Create a new document." ma:contentTypeScope="" ma:versionID="fdaecfcac6cea357e55f40a62277a675">
  <xsd:schema xmlns:xsd="http://www.w3.org/2001/XMLSchema" xmlns:xs="http://www.w3.org/2001/XMLSchema" xmlns:p="http://schemas.microsoft.com/office/2006/metadata/properties" xmlns:ns2="a6dabcd8-4771-4ff2-a629-ae2997056174" xmlns:ns3="160d07fa-e8e2-469f-af56-5ddc408bbda4" targetNamespace="http://schemas.microsoft.com/office/2006/metadata/properties" ma:root="true" ma:fieldsID="e0cea270b10a274e2171dab8ac8f4c1c" ns2:_="" ns3:_="">
    <xsd:import namespace="a6dabcd8-4771-4ff2-a629-ae2997056174"/>
    <xsd:import namespace="160d07fa-e8e2-469f-af56-5ddc408bbda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dabcd8-4771-4ff2-a629-ae2997056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0d07fa-e8e2-469f-af56-5ddc408bbd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9107C5-B401-4A16-BB12-3D243B9D13F0}">
  <ds:schemaRefs>
    <ds:schemaRef ds:uri="http://schemas.microsoft.com/office/2006/metadata/properties"/>
    <ds:schemaRef ds:uri="http://purl.org/dc/terms/"/>
    <ds:schemaRef ds:uri="http://schemas.microsoft.com/office/2006/documentManagement/types"/>
    <ds:schemaRef ds:uri="http://purl.org/dc/dcmitype/"/>
    <ds:schemaRef ds:uri="http://purl.org/dc/elements/1.1/"/>
    <ds:schemaRef ds:uri="http://schemas.openxmlformats.org/package/2006/metadata/core-properties"/>
    <ds:schemaRef ds:uri="efb98dbe-6680-48eb-ac67-85b3a61e7855"/>
    <ds:schemaRef ds:uri="http://schemas.microsoft.com/sharepoint/v3/fields"/>
    <ds:schemaRef ds:uri="eecedeb9-13b3-4e62-b003-046c92e1668a"/>
    <ds:schemaRef ds:uri="http://www.w3.org/XML/1998/namespace"/>
  </ds:schemaRefs>
</ds:datastoreItem>
</file>

<file path=customXml/itemProps2.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1DB80CB-09B6-4A57-B8B5-D44A0295F167}"/>
</file>

<file path=customXml/itemProps4.xml><?xml version="1.0" encoding="utf-8"?>
<ds:datastoreItem xmlns:ds="http://schemas.openxmlformats.org/officeDocument/2006/customXml" ds:itemID="{7C58A75D-656D-45CC-B1DE-AB2438CDD4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version control</vt:lpstr>
      <vt:lpstr>Guidance</vt:lpstr>
      <vt:lpstr>Option summary</vt:lpstr>
      <vt:lpstr>Fixed data</vt:lpstr>
      <vt:lpstr>Baseline Workings</vt:lpstr>
      <vt:lpstr>Option 1 (Baseline)</vt:lpstr>
      <vt:lpstr>Option 2</vt:lpstr>
      <vt:lpstr>Option 2 Workings</vt:lpstr>
      <vt:lpstr>'Option 1 (Baseline)'!Print_Area</vt:lpstr>
      <vt:lpstr>'Option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Simpson, Alannah</cp:lastModifiedBy>
  <cp:lastPrinted>2015-10-02T14:59:32Z</cp:lastPrinted>
  <dcterms:created xsi:type="dcterms:W3CDTF">2012-02-15T20:11:21Z</dcterms:created>
  <dcterms:modified xsi:type="dcterms:W3CDTF">2021-07-01T15:07:49Z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0x0101001C94AB13165D954F9B02BC5236DDE171</vt:lpwstr>
  </property>
</Properties>
</file>